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kdeloitte-my.sharepoint.com/personal/ajmcclenaghan_deloitte_co_uk/Documents/Personal Files/"/>
    </mc:Choice>
  </mc:AlternateContent>
  <xr:revisionPtr revIDLastSave="331" documentId="13_ncr:1_{AB04B4B7-5B72-4820-88E2-AFA93CC15CF7}" xr6:coauthVersionLast="47" xr6:coauthVersionMax="47" xr10:uidLastSave="{861B12D7-832F-4F08-ACCB-9B0522A053E6}"/>
  <bookViews>
    <workbookView xWindow="28680" yWindow="-8490" windowWidth="29040" windowHeight="15840" xr2:uid="{00000000-000D-0000-FFFF-FFFF00000000}"/>
  </bookViews>
  <sheets>
    <sheet name="Personal Budget" sheetId="1" r:id="rId1"/>
    <sheet name="Savings" sheetId="2" r:id="rId2"/>
    <sheet name="ISA" sheetId="5" r:id="rId3"/>
    <sheet name="Pension" sheetId="3" r:id="rId4"/>
  </sheets>
  <definedNames>
    <definedName name="_xlnm.Print_Area" localSheetId="0">'Personal Budget'!$A$1:$N$99</definedName>
    <definedName name="_xlnm.Print_Titles" localSheetId="0">'Personal Budget'!$3:$3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7" i="1" l="1"/>
  <c r="M72" i="1"/>
  <c r="M35" i="1"/>
  <c r="M32" i="1"/>
  <c r="M86" i="1"/>
  <c r="M64" i="1"/>
  <c r="M34" i="1"/>
  <c r="M56" i="1"/>
  <c r="M59" i="1" s="1"/>
  <c r="N59" i="1" s="1"/>
  <c r="M65" i="1"/>
  <c r="M33" i="1"/>
  <c r="E33" i="5"/>
  <c r="D33" i="5"/>
  <c r="E32" i="5"/>
  <c r="D32" i="5"/>
  <c r="E31" i="5"/>
  <c r="D31" i="5"/>
  <c r="E30" i="5"/>
  <c r="D30" i="5"/>
  <c r="E29" i="5"/>
  <c r="D29" i="5"/>
  <c r="E28" i="5"/>
  <c r="D28" i="5"/>
  <c r="E27" i="5"/>
  <c r="D27" i="5"/>
  <c r="E26" i="5"/>
  <c r="D26" i="5"/>
  <c r="E25" i="5"/>
  <c r="D25" i="5"/>
  <c r="E24" i="5"/>
  <c r="D24" i="5"/>
  <c r="E23" i="5"/>
  <c r="D23" i="5"/>
  <c r="E22" i="5"/>
  <c r="D22" i="5"/>
  <c r="E21" i="5"/>
  <c r="D21" i="5"/>
  <c r="E20" i="5"/>
  <c r="D20" i="5"/>
  <c r="E19" i="5"/>
  <c r="D19" i="5"/>
  <c r="E18" i="5"/>
  <c r="D18" i="5"/>
  <c r="E17" i="5"/>
  <c r="D17" i="5"/>
  <c r="E16" i="5"/>
  <c r="D16" i="5"/>
  <c r="E15" i="5"/>
  <c r="D15" i="5"/>
  <c r="E14" i="5"/>
  <c r="D14" i="5"/>
  <c r="E13" i="5"/>
  <c r="D13" i="5"/>
  <c r="D12" i="5"/>
  <c r="D11" i="5"/>
  <c r="D10" i="5"/>
  <c r="D9" i="5"/>
  <c r="D8" i="5"/>
  <c r="D7" i="5"/>
  <c r="D6" i="5"/>
  <c r="D5" i="5"/>
  <c r="D4" i="5"/>
  <c r="E4" i="5" s="1"/>
  <c r="F95" i="1"/>
  <c r="D95" i="1"/>
  <c r="N13" i="1"/>
  <c r="L35" i="1"/>
  <c r="L86" i="1"/>
  <c r="L87" i="1" s="1"/>
  <c r="L63" i="1"/>
  <c r="L32" i="1"/>
  <c r="L83" i="1"/>
  <c r="L34" i="1"/>
  <c r="L44" i="1"/>
  <c r="K83" i="1"/>
  <c r="L74" i="1"/>
  <c r="L71" i="1"/>
  <c r="L76" i="1" s="1"/>
  <c r="N85" i="1"/>
  <c r="K32" i="1"/>
  <c r="K37" i="1" s="1"/>
  <c r="K84" i="1"/>
  <c r="K86" i="1"/>
  <c r="K35" i="1"/>
  <c r="K74" i="1"/>
  <c r="K79" i="1"/>
  <c r="K76" i="1"/>
  <c r="K34" i="1"/>
  <c r="K65" i="1"/>
  <c r="J32" i="1"/>
  <c r="J86" i="1"/>
  <c r="J83" i="1"/>
  <c r="J34" i="1"/>
  <c r="J35" i="1"/>
  <c r="J47" i="1"/>
  <c r="J49" i="1" s="1"/>
  <c r="I83" i="1"/>
  <c r="I87" i="1" s="1"/>
  <c r="I32" i="1"/>
  <c r="G86" i="1"/>
  <c r="I24" i="1"/>
  <c r="I45" i="1"/>
  <c r="I49" i="1" s="1"/>
  <c r="I34" i="1"/>
  <c r="H84" i="1"/>
  <c r="H86" i="1"/>
  <c r="H32" i="1"/>
  <c r="H33" i="1"/>
  <c r="H79" i="1"/>
  <c r="H83" i="1"/>
  <c r="G36" i="1"/>
  <c r="G32" i="1"/>
  <c r="G83" i="1"/>
  <c r="G34" i="1"/>
  <c r="F46" i="1"/>
  <c r="F32" i="1"/>
  <c r="F34" i="1"/>
  <c r="G95" i="1"/>
  <c r="H95" i="1"/>
  <c r="I95" i="1"/>
  <c r="J95" i="1"/>
  <c r="K95" i="1"/>
  <c r="L95" i="1"/>
  <c r="M95" i="1"/>
  <c r="N95" i="1" s="1"/>
  <c r="N28" i="1"/>
  <c r="F83" i="1"/>
  <c r="F87" i="1" s="1"/>
  <c r="F35" i="1"/>
  <c r="N93" i="1"/>
  <c r="N94" i="1"/>
  <c r="E32" i="1"/>
  <c r="E35" i="1"/>
  <c r="N41" i="1"/>
  <c r="D84" i="1"/>
  <c r="D24" i="1"/>
  <c r="D44" i="1"/>
  <c r="D32" i="1"/>
  <c r="D86" i="1"/>
  <c r="D45" i="1"/>
  <c r="D83" i="1"/>
  <c r="D65" i="1"/>
  <c r="D35" i="1"/>
  <c r="C34" i="1"/>
  <c r="C32" i="1"/>
  <c r="D76" i="1"/>
  <c r="N75" i="1" a="1"/>
  <c r="N75" i="1" s="1"/>
  <c r="E87" i="1"/>
  <c r="M87" i="1"/>
  <c r="C86" i="1"/>
  <c r="B86" i="1"/>
  <c r="C83" i="1"/>
  <c r="C79" i="1"/>
  <c r="C24" i="1"/>
  <c r="C35" i="1"/>
  <c r="C47" i="1"/>
  <c r="C49" i="1" s="1"/>
  <c r="C76" i="1"/>
  <c r="E76" i="1"/>
  <c r="F76" i="1"/>
  <c r="G76" i="1"/>
  <c r="H76" i="1"/>
  <c r="I76" i="1"/>
  <c r="J76" i="1"/>
  <c r="M76" i="1"/>
  <c r="B76" i="1"/>
  <c r="N76" i="1" s="1"/>
  <c r="C65" i="1"/>
  <c r="C36" i="1"/>
  <c r="B83" i="1"/>
  <c r="B87" i="1" s="1"/>
  <c r="B44" i="1"/>
  <c r="B35" i="1"/>
  <c r="B47" i="1"/>
  <c r="B32" i="1"/>
  <c r="B53" i="1"/>
  <c r="B59" i="1" s="1"/>
  <c r="N58" i="1"/>
  <c r="D59" i="1"/>
  <c r="C59" i="1"/>
  <c r="E59" i="1"/>
  <c r="F59" i="1"/>
  <c r="G59" i="1"/>
  <c r="H59" i="1"/>
  <c r="I59" i="1"/>
  <c r="J59" i="1"/>
  <c r="K59" i="1"/>
  <c r="L59" i="1"/>
  <c r="C16" i="3"/>
  <c r="N9" i="1"/>
  <c r="N10" i="1"/>
  <c r="N11" i="1"/>
  <c r="N12" i="1"/>
  <c r="N8" i="1"/>
  <c r="N6" i="1"/>
  <c r="B13" i="1"/>
  <c r="N27" i="1"/>
  <c r="B29" i="1"/>
  <c r="B34" i="1"/>
  <c r="B36" i="1"/>
  <c r="B46" i="1"/>
  <c r="N48" i="1"/>
  <c r="E49" i="1"/>
  <c r="F49" i="1"/>
  <c r="G49" i="1"/>
  <c r="H49" i="1"/>
  <c r="K49" i="1"/>
  <c r="L49" i="1"/>
  <c r="M49" i="1"/>
  <c r="N26" i="1"/>
  <c r="C95" i="1"/>
  <c r="E95" i="1"/>
  <c r="B95" i="1"/>
  <c r="D7" i="2"/>
  <c r="F7" i="2" s="1"/>
  <c r="D4" i="2"/>
  <c r="F4" i="2"/>
  <c r="D5" i="2"/>
  <c r="D6" i="2"/>
  <c r="D8" i="2"/>
  <c r="D9" i="2"/>
  <c r="D10" i="2"/>
  <c r="D11" i="2"/>
  <c r="D12" i="2"/>
  <c r="F12" i="2"/>
  <c r="D13" i="2"/>
  <c r="F13" i="2" s="1"/>
  <c r="D14" i="2"/>
  <c r="F14" i="2" s="1"/>
  <c r="D15" i="2"/>
  <c r="D16" i="2"/>
  <c r="F16" i="2"/>
  <c r="D17" i="2"/>
  <c r="F17" i="2" s="1"/>
  <c r="D18" i="2"/>
  <c r="F18" i="2"/>
  <c r="D19" i="2"/>
  <c r="F19" i="2"/>
  <c r="D20" i="2"/>
  <c r="F20" i="2"/>
  <c r="D21" i="2"/>
  <c r="F21" i="2"/>
  <c r="D22" i="2"/>
  <c r="F22" i="2"/>
  <c r="D23" i="2"/>
  <c r="F23" i="2"/>
  <c r="D24" i="2"/>
  <c r="F24" i="2"/>
  <c r="D25" i="2"/>
  <c r="F25" i="2"/>
  <c r="D26" i="2"/>
  <c r="F26" i="2"/>
  <c r="D27" i="2"/>
  <c r="F27" i="2"/>
  <c r="D28" i="2"/>
  <c r="F28" i="2"/>
  <c r="D29" i="2"/>
  <c r="F29" i="2"/>
  <c r="D30" i="2"/>
  <c r="F30" i="2"/>
  <c r="D31" i="2"/>
  <c r="F31" i="2"/>
  <c r="D32" i="2"/>
  <c r="F32" i="2"/>
  <c r="D33" i="2"/>
  <c r="F33" i="2"/>
  <c r="D34" i="2"/>
  <c r="F34" i="2"/>
  <c r="D35" i="2"/>
  <c r="F35" i="2"/>
  <c r="D36" i="2"/>
  <c r="F36" i="2"/>
  <c r="D37" i="2"/>
  <c r="F37" i="2"/>
  <c r="D38" i="2"/>
  <c r="F38" i="2"/>
  <c r="D39" i="2"/>
  <c r="F39" i="2"/>
  <c r="D40" i="2"/>
  <c r="F40" i="2"/>
  <c r="M37" i="1" l="1"/>
  <c r="K87" i="1"/>
  <c r="L37" i="1"/>
  <c r="E9" i="5"/>
  <c r="E7" i="5"/>
  <c r="E10" i="5"/>
  <c r="E11" i="5"/>
  <c r="E12" i="5"/>
  <c r="E5" i="5"/>
  <c r="E8" i="5"/>
  <c r="E6" i="5"/>
  <c r="H37" i="1"/>
  <c r="J87" i="1"/>
  <c r="G37" i="1"/>
  <c r="G87" i="1"/>
  <c r="N24" i="1"/>
  <c r="J37" i="1"/>
  <c r="I37" i="1"/>
  <c r="H87" i="1"/>
  <c r="F15" i="2"/>
  <c r="D49" i="1"/>
  <c r="N49" i="1" s="1"/>
  <c r="F37" i="1"/>
  <c r="D87" i="1"/>
  <c r="E37" i="1"/>
  <c r="C37" i="1"/>
  <c r="N36" i="1"/>
  <c r="N86" i="1"/>
  <c r="B37" i="1"/>
  <c r="N37" i="1" s="1"/>
  <c r="F11" i="2"/>
  <c r="F10" i="2"/>
  <c r="D37" i="1"/>
  <c r="C87" i="1"/>
  <c r="N87" i="1" s="1"/>
  <c r="B49" i="1"/>
  <c r="F5" i="2"/>
  <c r="F9" i="2"/>
  <c r="F8" i="2"/>
  <c r="F6" i="2"/>
  <c r="N84" i="1"/>
  <c r="N65" i="1"/>
  <c r="N25" i="1"/>
  <c r="N54" i="1"/>
  <c r="N53" i="1"/>
  <c r="N44" i="1"/>
  <c r="N42" i="1"/>
  <c r="C17" i="1"/>
  <c r="C29" i="1" s="1"/>
  <c r="L66" i="1"/>
  <c r="B66" i="1"/>
  <c r="C66" i="1"/>
  <c r="D66" i="1"/>
  <c r="E66" i="1"/>
  <c r="F66" i="1"/>
  <c r="G66" i="1"/>
  <c r="H66" i="1"/>
  <c r="I66" i="1"/>
  <c r="J66" i="1"/>
  <c r="K66" i="1"/>
  <c r="M66" i="1"/>
  <c r="N66" i="1" s="1"/>
  <c r="N91" i="1"/>
  <c r="N90" i="1"/>
  <c r="N92" i="1"/>
  <c r="N20" i="1"/>
  <c r="N19" i="1"/>
  <c r="N18" i="1"/>
  <c r="N79" i="1"/>
  <c r="N80" i="1"/>
  <c r="N81" i="1"/>
  <c r="N82" i="1"/>
  <c r="N83" i="1"/>
  <c r="N56" i="1"/>
  <c r="N55" i="1"/>
  <c r="N23" i="1"/>
  <c r="N22" i="1"/>
  <c r="N47" i="1"/>
  <c r="N45" i="1"/>
  <c r="N74" i="1"/>
  <c r="N57" i="1"/>
  <c r="N21" i="1"/>
  <c r="N32" i="1"/>
  <c r="N33" i="1"/>
  <c r="N34" i="1"/>
  <c r="N35" i="1"/>
  <c r="N40" i="1"/>
  <c r="N43" i="1"/>
  <c r="N46" i="1"/>
  <c r="N52" i="1"/>
  <c r="N62" i="1"/>
  <c r="N63" i="1"/>
  <c r="N64" i="1"/>
  <c r="N69" i="1"/>
  <c r="N70" i="1"/>
  <c r="N71" i="1"/>
  <c r="N72" i="1"/>
  <c r="N73" i="1"/>
  <c r="B98" i="1" l="1"/>
  <c r="B99" i="1" s="1"/>
  <c r="D17" i="1"/>
  <c r="D29" i="1" s="1"/>
  <c r="C98" i="1"/>
  <c r="C99" i="1" s="1"/>
  <c r="E17" i="1" l="1"/>
  <c r="E29" i="1" s="1"/>
  <c r="D98" i="1"/>
  <c r="D99" i="1" s="1"/>
  <c r="F17" i="1" l="1"/>
  <c r="F29" i="1" s="1"/>
  <c r="F98" i="1" l="1"/>
  <c r="F99" i="1" s="1"/>
  <c r="E98" i="1"/>
  <c r="E99" i="1" s="1"/>
  <c r="G17" i="1"/>
  <c r="G29" i="1" s="1"/>
  <c r="G98" i="1" l="1"/>
  <c r="G99" i="1" s="1"/>
  <c r="H29" i="1"/>
  <c r="I17" i="1"/>
  <c r="I29" i="1" s="1"/>
  <c r="H98" i="1" l="1"/>
  <c r="H99" i="1" s="1"/>
  <c r="J17" i="1"/>
  <c r="J29" i="1" s="1"/>
  <c r="I98" i="1" l="1"/>
  <c r="I99" i="1" s="1"/>
  <c r="K17" i="1"/>
  <c r="K29" i="1" s="1"/>
  <c r="J98" i="1" l="1"/>
  <c r="J99" i="1" s="1"/>
  <c r="L17" i="1"/>
  <c r="L29" i="1" s="1"/>
  <c r="N5" i="1"/>
  <c r="K98" i="1" l="1"/>
  <c r="K99" i="1" s="1"/>
  <c r="M17" i="1"/>
  <c r="M29" i="1" s="1"/>
  <c r="N29" i="1" s="1"/>
  <c r="L98" i="1" l="1"/>
  <c r="L99" i="1" s="1"/>
  <c r="M98" i="1"/>
  <c r="M99" i="1" s="1"/>
  <c r="N17" i="1"/>
  <c r="N98" i="1" l="1"/>
  <c r="N9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<sst xmlns="http://schemas.openxmlformats.org/spreadsheetml/2006/main" count="145" uniqueCount="115">
  <si>
    <t>Clothing</t>
  </si>
  <si>
    <t>Personal</t>
  </si>
  <si>
    <t>Souvenirs</t>
  </si>
  <si>
    <t>Vacations</t>
  </si>
  <si>
    <t xml:space="preserve">Groceries </t>
  </si>
  <si>
    <t>Cash short/extra</t>
  </si>
  <si>
    <t>Daily living totals</t>
  </si>
  <si>
    <t>Entertainment totals</t>
  </si>
  <si>
    <t>Personal totals</t>
  </si>
  <si>
    <t>Transportation</t>
  </si>
  <si>
    <t>Parking</t>
  </si>
  <si>
    <t>Public transportation</t>
  </si>
  <si>
    <t>Accommodations</t>
  </si>
  <si>
    <t>Home totals</t>
  </si>
  <si>
    <t>Transportation totals</t>
  </si>
  <si>
    <t>Vacations totals</t>
  </si>
  <si>
    <t>Financial obligations</t>
  </si>
  <si>
    <t>Financial obligation totals</t>
  </si>
  <si>
    <t>Total expenses</t>
  </si>
  <si>
    <t>Savings</t>
  </si>
  <si>
    <t>Mortgage</t>
  </si>
  <si>
    <t>Electricity</t>
  </si>
  <si>
    <t>Gas</t>
  </si>
  <si>
    <t>Broadband</t>
  </si>
  <si>
    <t>Home Insurance</t>
  </si>
  <si>
    <t>Life Insurance</t>
  </si>
  <si>
    <t>Mobile Phone</t>
  </si>
  <si>
    <t>Petrol</t>
  </si>
  <si>
    <t>Car Insurance</t>
  </si>
  <si>
    <t>Repairs &amp; Servicing</t>
  </si>
  <si>
    <t>Cinema</t>
  </si>
  <si>
    <t>Pub</t>
  </si>
  <si>
    <t>Children</t>
  </si>
  <si>
    <t>Food &amp; Drink</t>
  </si>
  <si>
    <t>Tourist Attractions</t>
  </si>
  <si>
    <t>Plane Fare</t>
  </si>
  <si>
    <t>Barber</t>
  </si>
  <si>
    <t>Pension</t>
  </si>
  <si>
    <t>Council Rates</t>
  </si>
  <si>
    <t>Bonus</t>
  </si>
  <si>
    <t>Annual Total</t>
  </si>
  <si>
    <t>June 22</t>
  </si>
  <si>
    <t>July 22</t>
  </si>
  <si>
    <t>Aug 22</t>
  </si>
  <si>
    <t>Sept 22</t>
  </si>
  <si>
    <t>Oct 22</t>
  </si>
  <si>
    <t>Nov 22</t>
  </si>
  <si>
    <t>Dec 22</t>
  </si>
  <si>
    <t>Jan 23</t>
  </si>
  <si>
    <t>Feb 23</t>
  </si>
  <si>
    <t>March 23</t>
  </si>
  <si>
    <t>April 23</t>
  </si>
  <si>
    <t>May 23</t>
  </si>
  <si>
    <t>TV Licence</t>
  </si>
  <si>
    <t>Gym</t>
  </si>
  <si>
    <t>ISA</t>
  </si>
  <si>
    <t>Credit Card payments</t>
  </si>
  <si>
    <t>Window Cleaner</t>
  </si>
  <si>
    <t>Home Improvement</t>
  </si>
  <si>
    <t>Dining Out</t>
  </si>
  <si>
    <t>Clothes</t>
  </si>
  <si>
    <t>Toys</t>
  </si>
  <si>
    <t>Gifts (Birthdays, Weddings, Xmas etc)</t>
  </si>
  <si>
    <t>Takeaway</t>
  </si>
  <si>
    <t>Shows &amp; Events</t>
  </si>
  <si>
    <t>Other</t>
  </si>
  <si>
    <t xml:space="preserve">
Not taken into calculations on this sheet
See Tab: "Savings"</t>
  </si>
  <si>
    <t>BALANCE</t>
  </si>
  <si>
    <t>SUBTOTAL</t>
  </si>
  <si>
    <t>DESCRIPTION</t>
  </si>
  <si>
    <t>DATE</t>
  </si>
  <si>
    <t>Child Savings Account</t>
  </si>
  <si>
    <t>Taxi</t>
  </si>
  <si>
    <t xml:space="preserve">Paramount+ </t>
  </si>
  <si>
    <t xml:space="preserve">Disney+ </t>
  </si>
  <si>
    <t>Amazon Prime</t>
  </si>
  <si>
    <t>Netflix</t>
  </si>
  <si>
    <t>Work Lunch</t>
  </si>
  <si>
    <t>Garden</t>
  </si>
  <si>
    <t>National Insurance</t>
  </si>
  <si>
    <t>Student Loan</t>
  </si>
  <si>
    <t>Net Monthly</t>
  </si>
  <si>
    <t>Deductions</t>
  </si>
  <si>
    <t>TOTAL</t>
  </si>
  <si>
    <t xml:space="preserve">Other </t>
  </si>
  <si>
    <t>Xbox Live</t>
  </si>
  <si>
    <t>Classes / Clubs</t>
  </si>
  <si>
    <t>Other (Amazon, Ebay etc)</t>
  </si>
  <si>
    <t>Personal 8% 
+ 
Employer 12%</t>
  </si>
  <si>
    <r>
      <t xml:space="preserve">PAID FROM SAVINGS
Not calculated on this sheet
View Tab: </t>
    </r>
    <r>
      <rPr>
        <b/>
        <sz val="10"/>
        <rFont val="Tahoma"/>
        <family val="2"/>
      </rPr>
      <t>Savings</t>
    </r>
  </si>
  <si>
    <t>Beginning Balance</t>
  </si>
  <si>
    <t>Entertainment &amp; TV</t>
  </si>
  <si>
    <t>Post Office</t>
  </si>
  <si>
    <t>Salary</t>
  </si>
  <si>
    <t>Savings Add</t>
  </si>
  <si>
    <t>Local Shop (Juice, sweets, lotto etc)</t>
  </si>
  <si>
    <t>Package Holiday Payment</t>
  </si>
  <si>
    <t>Transfer to Partner</t>
  </si>
  <si>
    <t>Stove Fuel (Coal, logs etc)</t>
  </si>
  <si>
    <t>New Garage Build</t>
  </si>
  <si>
    <t>Savings Add (CASH)</t>
  </si>
  <si>
    <t>New Garage Foundations</t>
  </si>
  <si>
    <t>Home</t>
  </si>
  <si>
    <t>Child totals</t>
  </si>
  <si>
    <t xml:space="preserve">CONTRIBUTION </t>
  </si>
  <si>
    <t>E-Bike Insurance</t>
  </si>
  <si>
    <t>Car Tax (Vehicle Excise Duty)</t>
  </si>
  <si>
    <t xml:space="preserve">Car Payment </t>
  </si>
  <si>
    <t>ISA Add</t>
  </si>
  <si>
    <t>Personal budget (£ GBP)</t>
  </si>
  <si>
    <t>PAYE (Income Tax)</t>
  </si>
  <si>
    <t xml:space="preserve">Additional Work Benefits </t>
  </si>
  <si>
    <t xml:space="preserve">Pension </t>
  </si>
  <si>
    <t>INCOME</t>
  </si>
  <si>
    <t>EXPENSES-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</si>
</sst>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£&quot;* #,##0.00_-;\-&quot;£&quot;* #,##0.00_-;_-&quot;£&quot;* &quot;-&quot;??_-;_-@_-"/>
    <numFmt numFmtId="164" formatCode="#,##0.00;\-#,##0.00;&quot;-&quot;;@"/>
    <numFmt numFmtId="165" formatCode="[Color10]#,##0.00;[Red]\-#,##0.00"/>
    <numFmt numFmtId="166" formatCode="dd/mm/yy;@"/>
    <numFmt numFmtId="167" formatCode="[$-F800]dddd\,\ mmmm\ dd\,\ yyyy"/>
    <numFmt numFmtId="168" formatCode="#,##0.00_ ;[Red]\-#,##0.00\ "/>
  </numFmts>
  <fonts count="21" x14ac:knownFonts="1">
    <font>
      <sz val="10"/>
      <name val="Arial"/>
    </font>
    <font>
      <sz val="9"/>
      <color indexed="9"/>
      <name val="Bookman Old Style"/>
      <family val="1"/>
    </font>
    <font>
      <b/>
      <sz val="9"/>
      <color indexed="8"/>
      <name val="Bookman Old Style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color indexed="9"/>
      <name val="Tahoma"/>
      <family val="2"/>
    </font>
    <font>
      <b/>
      <sz val="9"/>
      <name val="Tahoma"/>
      <family val="2"/>
    </font>
    <font>
      <b/>
      <sz val="14"/>
      <color theme="1"/>
      <name val="Tahoma"/>
      <family val="2"/>
    </font>
    <font>
      <sz val="14"/>
      <color theme="1"/>
      <name val="Bookman Old Style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indexed="9"/>
      <name val="Calibri"/>
      <family val="2"/>
      <scheme val="minor"/>
    </font>
    <font>
      <u/>
      <sz val="10"/>
      <color indexed="12"/>
      <name val="Arial"/>
      <family val="2"/>
    </font>
    <font>
      <b/>
      <sz val="9"/>
      <color theme="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name val="Tahoma"/>
      <family val="2"/>
    </font>
    <font>
      <sz val="9"/>
      <color theme="1"/>
      <name val="Tahoma"/>
      <family val="2"/>
    </font>
    <font>
      <sz val="9"/>
      <color indexed="10"/>
      <name val="Tahoma"/>
      <family val="2"/>
    </font>
    <font>
      <b/>
      <sz val="9"/>
      <color indexed="10"/>
      <name val="Bookman Old Style"/>
      <family val="1"/>
    </font>
    <font>
      <sz val="9"/>
      <name val="Bookman Old Style"/>
      <family val="1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9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0" fontId="2" fillId="0" borderId="3" xfId="0" applyFont="1" applyFill="1" applyBorder="1" applyAlignment="1" applyProtection="1">
      <protection locked="0" hidden="1"/>
    </xf>
    <xf numFmtId="0" fontId="4" fillId="0" borderId="0" xfId="0" applyFont="1"/>
    <xf numFmtId="0" fontId="1" fillId="0" borderId="6" xfId="0" applyFont="1" applyFill="1" applyBorder="1" applyAlignment="1"/>
    <xf numFmtId="40" fontId="5" fillId="4" borderId="8" xfId="0" applyNumberFormat="1" applyFont="1" applyFill="1" applyBorder="1" applyAlignment="1">
      <alignment horizontal="centerContinuous"/>
    </xf>
    <xf numFmtId="49" fontId="5" fillId="4" borderId="8" xfId="0" applyNumberFormat="1" applyFont="1" applyFill="1" applyBorder="1" applyAlignment="1">
      <alignment horizontal="centerContinuous"/>
    </xf>
    <xf numFmtId="49" fontId="6" fillId="0" borderId="8" xfId="0" applyNumberFormat="1" applyFont="1" applyFill="1" applyBorder="1" applyAlignment="1">
      <alignment horizontal="centerContinuous"/>
    </xf>
    <xf numFmtId="0" fontId="4" fillId="0" borderId="0" xfId="0" applyFont="1" applyFill="1" applyAlignment="1">
      <alignment vertical="center" wrapText="1"/>
    </xf>
    <xf numFmtId="0" fontId="10" fillId="0" borderId="0" xfId="0" applyFont="1"/>
    <xf numFmtId="0" fontId="11" fillId="0" borderId="0" xfId="0" applyFont="1"/>
    <xf numFmtId="165" fontId="11" fillId="0" borderId="10" xfId="0" applyNumberFormat="1" applyFont="1" applyBorder="1" applyAlignment="1" applyProtection="1">
      <alignment horizontal="right" vertical="center"/>
      <protection locked="0"/>
    </xf>
    <xf numFmtId="164" fontId="11" fillId="8" borderId="11" xfId="1" applyNumberFormat="1" applyFont="1" applyFill="1" applyBorder="1" applyAlignment="1">
      <alignment horizontal="right" vertical="center"/>
    </xf>
    <xf numFmtId="164" fontId="11" fillId="8" borderId="11" xfId="1" applyNumberFormat="1" applyFont="1" applyFill="1" applyBorder="1" applyAlignment="1">
      <alignment vertical="center"/>
    </xf>
    <xf numFmtId="0" fontId="11" fillId="0" borderId="10" xfId="0" applyFont="1" applyBorder="1" applyAlignment="1" applyProtection="1">
      <alignment horizontal="left" vertical="center" wrapText="1" shrinkToFit="1"/>
      <protection locked="0"/>
    </xf>
    <xf numFmtId="165" fontId="11" fillId="0" borderId="9" xfId="0" applyNumberFormat="1" applyFont="1" applyBorder="1" applyAlignment="1" applyProtection="1">
      <alignment horizontal="right" vertical="center"/>
      <protection locked="0"/>
    </xf>
    <xf numFmtId="0" fontId="11" fillId="0" borderId="9" xfId="0" applyFont="1" applyBorder="1" applyAlignment="1" applyProtection="1">
      <alignment horizontal="left" vertical="center" wrapText="1" shrinkToFit="1"/>
      <protection locked="0"/>
    </xf>
    <xf numFmtId="0" fontId="12" fillId="9" borderId="0" xfId="0" applyFont="1" applyFill="1" applyAlignment="1">
      <alignment horizontal="center" vertical="center" wrapText="1"/>
    </xf>
    <xf numFmtId="0" fontId="12" fillId="9" borderId="0" xfId="0" applyFont="1" applyFill="1" applyAlignment="1">
      <alignment vertical="center" wrapText="1"/>
    </xf>
    <xf numFmtId="0" fontId="13" fillId="0" borderId="0" xfId="2" applyFill="1" applyBorder="1" applyAlignment="1" applyProtection="1">
      <alignment vertical="center"/>
    </xf>
    <xf numFmtId="166" fontId="11" fillId="0" borderId="9" xfId="0" applyNumberFormat="1" applyFont="1" applyBorder="1" applyAlignment="1" applyProtection="1">
      <alignment horizontal="center" vertical="center" shrinkToFit="1"/>
      <protection locked="0"/>
    </xf>
    <xf numFmtId="166" fontId="11" fillId="0" borderId="10" xfId="0" applyNumberFormat="1" applyFont="1" applyBorder="1" applyAlignment="1" applyProtection="1">
      <alignment horizontal="center" vertical="center" shrinkToFit="1"/>
      <protection locked="0"/>
    </xf>
    <xf numFmtId="0" fontId="14" fillId="9" borderId="0" xfId="0" applyFont="1" applyFill="1" applyAlignment="1">
      <alignment horizontal="center" vertical="center" wrapText="1"/>
    </xf>
    <xf numFmtId="167" fontId="12" fillId="9" borderId="0" xfId="0" applyNumberFormat="1" applyFont="1" applyFill="1" applyAlignment="1">
      <alignment horizontal="center" vertical="center" wrapText="1"/>
    </xf>
    <xf numFmtId="167" fontId="11" fillId="0" borderId="10" xfId="0" applyNumberFormat="1" applyFont="1" applyBorder="1" applyAlignment="1" applyProtection="1">
      <alignment horizontal="center" vertical="center" shrinkToFit="1"/>
      <protection locked="0"/>
    </xf>
    <xf numFmtId="167" fontId="10" fillId="0" borderId="0" xfId="0" applyNumberFormat="1" applyFont="1" applyAlignment="1">
      <alignment horizontal="center"/>
    </xf>
    <xf numFmtId="165" fontId="15" fillId="7" borderId="4" xfId="0" applyNumberFormat="1" applyFont="1" applyFill="1" applyBorder="1"/>
    <xf numFmtId="0" fontId="4" fillId="6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0" fontId="7" fillId="7" borderId="5" xfId="0" applyFont="1" applyFill="1" applyBorder="1" applyAlignment="1" applyProtection="1">
      <protection locked="0" hidden="1"/>
    </xf>
    <xf numFmtId="0" fontId="8" fillId="7" borderId="1" xfId="0" applyFont="1" applyFill="1" applyBorder="1" applyAlignment="1"/>
    <xf numFmtId="0" fontId="8" fillId="7" borderId="2" xfId="0" applyFont="1" applyFill="1" applyBorder="1" applyAlignment="1"/>
    <xf numFmtId="167" fontId="10" fillId="10" borderId="5" xfId="0" applyNumberFormat="1" applyFont="1" applyFill="1" applyBorder="1" applyAlignment="1">
      <alignment horizontal="center"/>
    </xf>
    <xf numFmtId="167" fontId="10" fillId="10" borderId="2" xfId="0" applyNumberFormat="1" applyFont="1" applyFill="1" applyBorder="1" applyAlignment="1">
      <alignment horizontal="center"/>
    </xf>
    <xf numFmtId="0" fontId="11" fillId="0" borderId="11" xfId="0" applyFont="1" applyBorder="1" applyAlignment="1" applyProtection="1">
      <alignment horizontal="center" vertical="center" wrapText="1" shrinkToFit="1"/>
      <protection locked="0"/>
    </xf>
    <xf numFmtId="40" fontId="6" fillId="3" borderId="26" xfId="0" applyNumberFormat="1" applyFont="1" applyFill="1" applyBorder="1" applyAlignment="1" applyProtection="1">
      <protection hidden="1"/>
    </xf>
    <xf numFmtId="40" fontId="6" fillId="3" borderId="23" xfId="0" applyNumberFormat="1" applyFont="1" applyFill="1" applyBorder="1" applyAlignment="1" applyProtection="1">
      <protection hidden="1"/>
    </xf>
    <xf numFmtId="0" fontId="6" fillId="3" borderId="23" xfId="0" applyNumberFormat="1" applyFont="1" applyFill="1" applyBorder="1" applyAlignment="1" applyProtection="1">
      <protection hidden="1"/>
    </xf>
    <xf numFmtId="40" fontId="6" fillId="3" borderId="25" xfId="0" applyNumberFormat="1" applyFont="1" applyFill="1" applyBorder="1" applyAlignment="1" applyProtection="1">
      <protection hidden="1"/>
    </xf>
    <xf numFmtId="40" fontId="6" fillId="3" borderId="12" xfId="0" applyNumberFormat="1" applyFont="1" applyFill="1" applyBorder="1" applyAlignment="1" applyProtection="1">
      <protection hidden="1"/>
    </xf>
    <xf numFmtId="0" fontId="16" fillId="0" borderId="0" xfId="0" applyFont="1"/>
    <xf numFmtId="40" fontId="6" fillId="3" borderId="22" xfId="0" applyNumberFormat="1" applyFont="1" applyFill="1" applyBorder="1" applyAlignment="1" applyProtection="1">
      <protection hidden="1"/>
    </xf>
    <xf numFmtId="168" fontId="6" fillId="3" borderId="23" xfId="0" applyNumberFormat="1" applyFont="1" applyFill="1" applyBorder="1" applyAlignment="1" applyProtection="1">
      <protection hidden="1"/>
    </xf>
    <xf numFmtId="40" fontId="16" fillId="0" borderId="0" xfId="0" applyNumberFormat="1" applyFont="1"/>
    <xf numFmtId="40" fontId="6" fillId="3" borderId="23" xfId="0" applyNumberFormat="1" applyFont="1" applyFill="1" applyBorder="1" applyAlignment="1" applyProtection="1">
      <protection locked="0" hidden="1"/>
    </xf>
    <xf numFmtId="0" fontId="5" fillId="4" borderId="5" xfId="0" applyFont="1" applyFill="1" applyBorder="1" applyAlignment="1"/>
    <xf numFmtId="0" fontId="5" fillId="4" borderId="1" xfId="0" applyFont="1" applyFill="1" applyBorder="1" applyAlignment="1"/>
    <xf numFmtId="0" fontId="5" fillId="4" borderId="2" xfId="0" applyFont="1" applyFill="1" applyBorder="1" applyAlignment="1"/>
    <xf numFmtId="0" fontId="6" fillId="0" borderId="7" xfId="0" applyFont="1" applyFill="1" applyBorder="1" applyAlignment="1">
      <alignment horizontal="center"/>
    </xf>
    <xf numFmtId="0" fontId="16" fillId="0" borderId="1" xfId="0" applyFont="1" applyFill="1" applyBorder="1" applyAlignment="1"/>
    <xf numFmtId="0" fontId="6" fillId="5" borderId="5" xfId="0" applyFont="1" applyFill="1" applyBorder="1" applyAlignment="1" applyProtection="1">
      <alignment vertical="center"/>
      <protection locked="0" hidden="1"/>
    </xf>
    <xf numFmtId="0" fontId="6" fillId="5" borderId="1" xfId="0" applyFont="1" applyFill="1" applyBorder="1" applyAlignment="1">
      <alignment vertical="center"/>
    </xf>
    <xf numFmtId="0" fontId="6" fillId="5" borderId="13" xfId="0" applyFont="1" applyFill="1" applyBorder="1" applyAlignment="1">
      <alignment vertical="center"/>
    </xf>
    <xf numFmtId="0" fontId="16" fillId="0" borderId="5" xfId="0" applyFont="1" applyFill="1" applyBorder="1" applyAlignment="1" applyProtection="1">
      <protection locked="0" hidden="1"/>
    </xf>
    <xf numFmtId="40" fontId="6" fillId="0" borderId="4" xfId="0" applyNumberFormat="1" applyFont="1" applyFill="1" applyBorder="1" applyAlignment="1" applyProtection="1">
      <protection locked="0" hidden="1"/>
    </xf>
    <xf numFmtId="40" fontId="6" fillId="3" borderId="15" xfId="0" applyNumberFormat="1" applyFont="1" applyFill="1" applyBorder="1" applyAlignment="1" applyProtection="1">
      <protection hidden="1"/>
    </xf>
    <xf numFmtId="40" fontId="16" fillId="0" borderId="4" xfId="0" applyNumberFormat="1" applyFont="1" applyFill="1" applyBorder="1" applyAlignment="1" applyProtection="1">
      <protection locked="0" hidden="1"/>
    </xf>
    <xf numFmtId="40" fontId="16" fillId="0" borderId="5" xfId="0" applyNumberFormat="1" applyFont="1" applyFill="1" applyBorder="1" applyAlignment="1" applyProtection="1">
      <protection locked="0" hidden="1"/>
    </xf>
    <xf numFmtId="40" fontId="6" fillId="3" borderId="16" xfId="0" applyNumberFormat="1" applyFont="1" applyFill="1" applyBorder="1" applyAlignment="1" applyProtection="1">
      <protection hidden="1"/>
    </xf>
    <xf numFmtId="0" fontId="6" fillId="5" borderId="6" xfId="0" applyFont="1" applyFill="1" applyBorder="1" applyAlignment="1">
      <alignment vertical="center"/>
    </xf>
    <xf numFmtId="40" fontId="17" fillId="0" borderId="4" xfId="0" applyNumberFormat="1" applyFont="1" applyFill="1" applyBorder="1" applyAlignment="1" applyProtection="1">
      <protection locked="0" hidden="1"/>
    </xf>
    <xf numFmtId="40" fontId="17" fillId="0" borderId="5" xfId="0" applyNumberFormat="1" applyFont="1" applyFill="1" applyBorder="1" applyAlignment="1" applyProtection="1">
      <protection locked="0" hidden="1"/>
    </xf>
    <xf numFmtId="40" fontId="6" fillId="3" borderId="17" xfId="0" applyNumberFormat="1" applyFont="1" applyFill="1" applyBorder="1" applyAlignment="1" applyProtection="1">
      <protection hidden="1"/>
    </xf>
    <xf numFmtId="0" fontId="16" fillId="2" borderId="5" xfId="0" applyFont="1" applyFill="1" applyBorder="1" applyAlignment="1" applyProtection="1">
      <protection locked="0" hidden="1"/>
    </xf>
    <xf numFmtId="40" fontId="17" fillId="2" borderId="4" xfId="0" applyNumberFormat="1" applyFont="1" applyFill="1" applyBorder="1" applyAlignment="1" applyProtection="1">
      <protection locked="0" hidden="1"/>
    </xf>
    <xf numFmtId="40" fontId="17" fillId="2" borderId="5" xfId="0" applyNumberFormat="1" applyFont="1" applyFill="1" applyBorder="1" applyAlignment="1" applyProtection="1">
      <protection locked="0" hidden="1"/>
    </xf>
    <xf numFmtId="0" fontId="16" fillId="2" borderId="3" xfId="0" applyFont="1" applyFill="1" applyBorder="1" applyAlignment="1" applyProtection="1">
      <protection locked="0" hidden="1"/>
    </xf>
    <xf numFmtId="40" fontId="17" fillId="2" borderId="8" xfId="0" applyNumberFormat="1" applyFont="1" applyFill="1" applyBorder="1" applyAlignment="1" applyProtection="1">
      <protection locked="0" hidden="1"/>
    </xf>
    <xf numFmtId="40" fontId="17" fillId="2" borderId="3" xfId="0" applyNumberFormat="1" applyFont="1" applyFill="1" applyBorder="1" applyAlignment="1" applyProtection="1">
      <protection locked="0" hidden="1"/>
    </xf>
    <xf numFmtId="40" fontId="6" fillId="3" borderId="24" xfId="0" applyNumberFormat="1" applyFont="1" applyFill="1" applyBorder="1" applyAlignment="1" applyProtection="1">
      <protection hidden="1"/>
    </xf>
    <xf numFmtId="40" fontId="6" fillId="0" borderId="20" xfId="0" applyNumberFormat="1" applyFont="1" applyFill="1" applyBorder="1" applyAlignment="1" applyProtection="1">
      <protection hidden="1"/>
    </xf>
    <xf numFmtId="40" fontId="6" fillId="0" borderId="21" xfId="0" applyNumberFormat="1" applyFont="1" applyFill="1" applyBorder="1" applyAlignment="1" applyProtection="1">
      <protection hidden="1"/>
    </xf>
    <xf numFmtId="40" fontId="6" fillId="0" borderId="14" xfId="0" applyNumberFormat="1" applyFont="1" applyFill="1" applyBorder="1" applyAlignment="1" applyProtection="1">
      <protection hidden="1"/>
    </xf>
    <xf numFmtId="0" fontId="18" fillId="5" borderId="1" xfId="0" applyFont="1" applyFill="1" applyBorder="1" applyAlignment="1">
      <alignment vertical="center"/>
    </xf>
    <xf numFmtId="0" fontId="18" fillId="5" borderId="2" xfId="0" applyFont="1" applyFill="1" applyBorder="1" applyAlignment="1">
      <alignment vertical="center"/>
    </xf>
    <xf numFmtId="0" fontId="5" fillId="4" borderId="5" xfId="0" applyFont="1" applyFill="1" applyBorder="1" applyAlignment="1" applyProtection="1">
      <protection locked="0" hidden="1"/>
    </xf>
    <xf numFmtId="0" fontId="1" fillId="4" borderId="1" xfId="0" applyFont="1" applyFill="1" applyBorder="1" applyAlignment="1"/>
    <xf numFmtId="0" fontId="1" fillId="4" borderId="13" xfId="0" applyFont="1" applyFill="1" applyBorder="1" applyAlignment="1"/>
    <xf numFmtId="40" fontId="6" fillId="3" borderId="15" xfId="0" applyNumberFormat="1" applyFont="1" applyFill="1" applyBorder="1" applyAlignment="1" applyProtection="1">
      <protection locked="0" hidden="1"/>
    </xf>
    <xf numFmtId="40" fontId="16" fillId="2" borderId="4" xfId="0" applyNumberFormat="1" applyFont="1" applyFill="1" applyBorder="1" applyAlignment="1" applyProtection="1">
      <protection locked="0" hidden="1"/>
    </xf>
    <xf numFmtId="40" fontId="16" fillId="2" borderId="5" xfId="0" applyNumberFormat="1" applyFont="1" applyFill="1" applyBorder="1" applyAlignment="1" applyProtection="1">
      <protection locked="0" hidden="1"/>
    </xf>
    <xf numFmtId="40" fontId="6" fillId="3" borderId="17" xfId="0" applyNumberFormat="1" applyFont="1" applyFill="1" applyBorder="1" applyAlignment="1" applyProtection="1">
      <protection locked="0" hidden="1"/>
    </xf>
    <xf numFmtId="0" fontId="16" fillId="0" borderId="2" xfId="0" applyFont="1" applyBorder="1"/>
    <xf numFmtId="40" fontId="16" fillId="6" borderId="4" xfId="0" applyNumberFormat="1" applyFont="1" applyFill="1" applyBorder="1" applyAlignment="1" applyProtection="1">
      <protection locked="0" hidden="1"/>
    </xf>
    <xf numFmtId="40" fontId="16" fillId="2" borderId="8" xfId="0" applyNumberFormat="1" applyFont="1" applyFill="1" applyBorder="1" applyAlignment="1" applyProtection="1">
      <protection locked="0" hidden="1"/>
    </xf>
    <xf numFmtId="40" fontId="16" fillId="2" borderId="3" xfId="0" applyNumberFormat="1" applyFont="1" applyFill="1" applyBorder="1" applyAlignment="1" applyProtection="1">
      <protection locked="0" hidden="1"/>
    </xf>
    <xf numFmtId="40" fontId="6" fillId="3" borderId="19" xfId="0" applyNumberFormat="1" applyFont="1" applyFill="1" applyBorder="1" applyAlignment="1" applyProtection="1">
      <protection hidden="1"/>
    </xf>
    <xf numFmtId="0" fontId="19" fillId="0" borderId="20" xfId="0" applyFont="1" applyFill="1" applyBorder="1" applyAlignment="1"/>
    <xf numFmtId="0" fontId="19" fillId="0" borderId="21" xfId="0" applyFont="1" applyFill="1" applyBorder="1" applyAlignment="1"/>
    <xf numFmtId="0" fontId="19" fillId="0" borderId="14" xfId="0" applyFont="1" applyFill="1" applyBorder="1" applyAlignment="1"/>
    <xf numFmtId="40" fontId="16" fillId="0" borderId="4" xfId="0" applyNumberFormat="1" applyFont="1" applyFill="1" applyBorder="1" applyAlignment="1" applyProtection="1">
      <protection hidden="1"/>
    </xf>
    <xf numFmtId="40" fontId="16" fillId="2" borderId="4" xfId="0" applyNumberFormat="1" applyFont="1" applyFill="1" applyBorder="1" applyAlignment="1" applyProtection="1">
      <protection hidden="1"/>
    </xf>
    <xf numFmtId="40" fontId="16" fillId="0" borderId="8" xfId="0" applyNumberFormat="1" applyFont="1" applyFill="1" applyBorder="1" applyAlignment="1" applyProtection="1">
      <protection locked="0" hidden="1"/>
    </xf>
    <xf numFmtId="40" fontId="16" fillId="0" borderId="3" xfId="0" applyNumberFormat="1" applyFont="1" applyFill="1" applyBorder="1" applyAlignment="1" applyProtection="1">
      <protection locked="0" hidden="1"/>
    </xf>
    <xf numFmtId="40" fontId="6" fillId="3" borderId="18" xfId="0" applyNumberFormat="1" applyFont="1" applyFill="1" applyBorder="1" applyAlignment="1" applyProtection="1">
      <protection hidden="1"/>
    </xf>
    <xf numFmtId="40" fontId="16" fillId="0" borderId="5" xfId="0" applyNumberFormat="1" applyFont="1" applyFill="1" applyBorder="1" applyAlignment="1" applyProtection="1">
      <protection hidden="1"/>
    </xf>
    <xf numFmtId="40" fontId="6" fillId="3" borderId="24" xfId="0" applyNumberFormat="1" applyFont="1" applyFill="1" applyBorder="1" applyAlignment="1" applyProtection="1">
      <protection locked="0" hidden="1"/>
    </xf>
    <xf numFmtId="40" fontId="16" fillId="2" borderId="8" xfId="0" applyNumberFormat="1" applyFont="1" applyFill="1" applyBorder="1" applyAlignment="1" applyProtection="1">
      <protection hidden="1"/>
    </xf>
    <xf numFmtId="40" fontId="16" fillId="2" borderId="3" xfId="0" applyNumberFormat="1" applyFont="1" applyFill="1" applyBorder="1" applyAlignment="1" applyProtection="1">
      <protection hidden="1"/>
    </xf>
    <xf numFmtId="40" fontId="16" fillId="6" borderId="8" xfId="0" applyNumberFormat="1" applyFont="1" applyFill="1" applyBorder="1" applyAlignment="1" applyProtection="1">
      <protection locked="0" hidden="1"/>
    </xf>
    <xf numFmtId="0" fontId="16" fillId="0" borderId="3" xfId="0" applyFont="1" applyFill="1" applyBorder="1" applyAlignment="1" applyProtection="1">
      <protection locked="0" hidden="1"/>
    </xf>
    <xf numFmtId="0" fontId="20" fillId="0" borderId="1" xfId="0" applyFont="1" applyFill="1" applyBorder="1" applyAlignment="1"/>
    <xf numFmtId="0" fontId="20" fillId="0" borderId="6" xfId="0" applyFont="1" applyFill="1" applyBorder="1" applyAlignment="1"/>
    <xf numFmtId="0" fontId="6" fillId="0" borderId="5" xfId="0" applyFont="1" applyFill="1" applyBorder="1" applyAlignment="1" applyProtection="1">
      <protection locked="0" hidden="1"/>
    </xf>
    <xf numFmtId="40" fontId="16" fillId="3" borderId="4" xfId="0" applyNumberFormat="1" applyFont="1" applyFill="1" applyBorder="1" applyAlignment="1" applyProtection="1">
      <protection hidden="1"/>
    </xf>
    <xf numFmtId="40" fontId="16" fillId="3" borderId="5" xfId="0" applyNumberFormat="1" applyFont="1" applyFill="1" applyBorder="1" applyAlignment="1" applyProtection="1">
      <protection hidden="1"/>
    </xf>
  </cellXfs>
  <cellStyles count="3">
    <cellStyle name="Currency" xfId="1" builtinId="4"/>
    <cellStyle name="Hyperlink" xfId="2" builtinId="8"/>
    <cellStyle name="Normal" xfId="0" builtinId="0"/>
  </cellStyles>
  <dxfs count="3">
    <dxf>
      <font>
        <condense val="0"/>
        <extend val="0"/>
      </font>
      <fill>
        <patternFill>
          <bgColor indexed="22"/>
        </patternFill>
      </fill>
    </dxf>
    <dxf>
      <font>
        <condense val="0"/>
        <extend val="0"/>
      </font>
      <fill>
        <patternFill>
          <bgColor indexed="22"/>
        </patternFill>
      </fill>
    </dxf>
    <dxf>
      <font>
        <condense val="0"/>
        <extend val="0"/>
      </font>
      <fill>
        <patternFill>
          <bgColor indexed="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5FBFD"/>
      <rgbColor rgb="00CCFFCC"/>
      <rgbColor rgb="00FFFF99"/>
      <rgbColor rgb="00C5E0F3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9"/>
  <sheetViews>
    <sheetView showGridLines="0" tabSelected="1" zoomScaleNormal="75" workbookViewId="0">
      <pane xSplit="8" ySplit="14" topLeftCell="I63" activePane="bottomRight" state="frozen"/>
      <selection pane="topRight" activeCell="I1" sqref="I1"/>
      <selection pane="bottomLeft" activeCell="A16" sqref="A16"/>
      <selection pane="bottomRight" activeCell="S9" sqref="S9"/>
    </sheetView>
  </sheetViews>
  <sheetFormatPr defaultRowHeight="13.2" x14ac:dyDescent="0.25"/>
  <cols>
    <col min="1" max="1" width="31.5546875" customWidth="1"/>
    <col min="2" max="6" width="9.44140625" bestFit="1" customWidth="1"/>
    <col min="7" max="7" width="9.5546875" bestFit="1" customWidth="1"/>
    <col min="8" max="13" width="9.44140625" bestFit="1" customWidth="1"/>
    <col min="14" max="14" width="11.77734375" bestFit="1" customWidth="1"/>
    <col min="16" max="16" width="12.6640625" customWidth="1"/>
    <col min="17" max="17" width="3.109375" customWidth="1"/>
  </cols>
  <sheetData>
    <row r="1" spans="1:17" ht="31.5" customHeight="1" x14ac:dyDescent="0.25">
      <c r="A1" s="44" t="s">
        <v>109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6"/>
    </row>
    <row r="2" spans="1:17" x14ac:dyDescent="0.25">
      <c r="A2" s="47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7" x14ac:dyDescent="0.25">
      <c r="A3" s="3"/>
      <c r="B3" s="5" t="s">
        <v>41</v>
      </c>
      <c r="C3" s="6" t="s">
        <v>42</v>
      </c>
      <c r="D3" s="5" t="s">
        <v>43</v>
      </c>
      <c r="E3" s="6" t="s">
        <v>44</v>
      </c>
      <c r="F3" s="5" t="s">
        <v>45</v>
      </c>
      <c r="G3" s="6" t="s">
        <v>46</v>
      </c>
      <c r="H3" s="5" t="s">
        <v>47</v>
      </c>
      <c r="I3" s="6" t="s">
        <v>48</v>
      </c>
      <c r="J3" s="5" t="s">
        <v>49</v>
      </c>
      <c r="K3" s="6" t="s">
        <v>50</v>
      </c>
      <c r="L3" s="5" t="s">
        <v>51</v>
      </c>
      <c r="M3" s="6" t="s">
        <v>52</v>
      </c>
      <c r="N3" s="4" t="s">
        <v>40</v>
      </c>
      <c r="P3" s="26" t="s">
        <v>89</v>
      </c>
      <c r="Q3" s="27"/>
    </row>
    <row r="4" spans="1:17" ht="13.8" thickBot="1" x14ac:dyDescent="0.3">
      <c r="A4" s="49" t="s">
        <v>113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/>
      <c r="P4" s="26"/>
      <c r="Q4" s="27"/>
    </row>
    <row r="5" spans="1:17" s="2" customFormat="1" x14ac:dyDescent="0.25">
      <c r="A5" s="52" t="s">
        <v>93</v>
      </c>
      <c r="B5" s="53">
        <v>2691.67</v>
      </c>
      <c r="C5" s="53">
        <v>3366.67</v>
      </c>
      <c r="D5" s="53">
        <v>3366.67</v>
      </c>
      <c r="E5" s="53">
        <v>3366.67</v>
      </c>
      <c r="F5" s="53">
        <v>3366.67</v>
      </c>
      <c r="G5" s="53">
        <v>3366.67</v>
      </c>
      <c r="H5" s="53">
        <v>3366.67</v>
      </c>
      <c r="I5" s="53">
        <v>3366.67</v>
      </c>
      <c r="J5" s="53">
        <v>3366.67</v>
      </c>
      <c r="K5" s="53">
        <v>3366.67</v>
      </c>
      <c r="L5" s="53">
        <v>3366.67</v>
      </c>
      <c r="M5" s="53">
        <v>3366.67</v>
      </c>
      <c r="N5" s="54">
        <f>SUM(B5:M5)</f>
        <v>39725.039999999994</v>
      </c>
      <c r="P5" s="26"/>
      <c r="Q5" s="27"/>
    </row>
    <row r="6" spans="1:17" s="2" customFormat="1" ht="13.8" thickBot="1" x14ac:dyDescent="0.3">
      <c r="A6" s="52" t="s">
        <v>39</v>
      </c>
      <c r="B6" s="55">
        <v>0</v>
      </c>
      <c r="C6" s="55">
        <v>1902</v>
      </c>
      <c r="D6" s="55">
        <v>0</v>
      </c>
      <c r="E6" s="55">
        <v>0</v>
      </c>
      <c r="F6" s="55">
        <v>0</v>
      </c>
      <c r="G6" s="55">
        <v>0</v>
      </c>
      <c r="H6" s="55">
        <v>0</v>
      </c>
      <c r="I6" s="55">
        <v>0</v>
      </c>
      <c r="J6" s="55">
        <v>0</v>
      </c>
      <c r="K6" s="55">
        <v>0</v>
      </c>
      <c r="L6" s="55">
        <v>0</v>
      </c>
      <c r="M6" s="56">
        <v>0</v>
      </c>
      <c r="N6" s="57">
        <f>SUM(B6:M6)</f>
        <v>1902</v>
      </c>
      <c r="P6" s="26"/>
      <c r="Q6" s="27"/>
    </row>
    <row r="7" spans="1:17" s="2" customFormat="1" ht="13.8" thickBot="1" x14ac:dyDescent="0.3">
      <c r="A7" s="49" t="s">
        <v>82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8"/>
      <c r="P7" s="26"/>
      <c r="Q7" s="27"/>
    </row>
    <row r="8" spans="1:17" s="2" customFormat="1" x14ac:dyDescent="0.25">
      <c r="A8" s="52" t="s">
        <v>110</v>
      </c>
      <c r="B8" s="59">
        <v>266</v>
      </c>
      <c r="C8" s="59">
        <v>765.6</v>
      </c>
      <c r="D8" s="59">
        <v>385</v>
      </c>
      <c r="E8" s="59">
        <v>385.2</v>
      </c>
      <c r="F8" s="59">
        <v>385</v>
      </c>
      <c r="G8" s="59">
        <v>385.2</v>
      </c>
      <c r="H8" s="59">
        <v>385</v>
      </c>
      <c r="I8" s="59">
        <v>385</v>
      </c>
      <c r="J8" s="59">
        <v>394.2</v>
      </c>
      <c r="K8" s="59">
        <v>394.4</v>
      </c>
      <c r="L8" s="59">
        <v>394.2</v>
      </c>
      <c r="M8" s="60">
        <v>394.2</v>
      </c>
      <c r="N8" s="54">
        <f>SUM($B8:$M8)</f>
        <v>4918.9999999999991</v>
      </c>
      <c r="P8" s="27"/>
      <c r="Q8" s="27"/>
    </row>
    <row r="9" spans="1:17" s="2" customFormat="1" x14ac:dyDescent="0.25">
      <c r="A9" s="52" t="s">
        <v>79</v>
      </c>
      <c r="B9" s="59">
        <v>206.13</v>
      </c>
      <c r="C9" s="59">
        <v>468.31</v>
      </c>
      <c r="D9" s="59">
        <v>255.16</v>
      </c>
      <c r="E9" s="59">
        <v>255.16</v>
      </c>
      <c r="F9" s="59">
        <v>255.16</v>
      </c>
      <c r="G9" s="59">
        <v>255.16</v>
      </c>
      <c r="H9" s="59">
        <v>231.09</v>
      </c>
      <c r="I9" s="59">
        <v>231.09</v>
      </c>
      <c r="J9" s="59">
        <v>229.75</v>
      </c>
      <c r="K9" s="59">
        <v>229.75</v>
      </c>
      <c r="L9" s="59">
        <v>229.75</v>
      </c>
      <c r="M9" s="60">
        <v>229.75</v>
      </c>
      <c r="N9" s="61">
        <f t="shared" ref="N9:N12" si="0">SUM($B9:$M9)</f>
        <v>3076.26</v>
      </c>
      <c r="P9" s="27"/>
      <c r="Q9" s="27"/>
    </row>
    <row r="10" spans="1:17" s="2" customFormat="1" x14ac:dyDescent="0.25">
      <c r="A10" s="62" t="s">
        <v>80</v>
      </c>
      <c r="B10" s="63">
        <v>62</v>
      </c>
      <c r="C10" s="63">
        <v>287</v>
      </c>
      <c r="D10" s="63">
        <v>116</v>
      </c>
      <c r="E10" s="63">
        <v>116</v>
      </c>
      <c r="F10" s="63">
        <v>116</v>
      </c>
      <c r="G10" s="63">
        <v>116</v>
      </c>
      <c r="H10" s="63">
        <v>116</v>
      </c>
      <c r="I10" s="63">
        <v>116</v>
      </c>
      <c r="J10" s="63">
        <v>115</v>
      </c>
      <c r="K10" s="63">
        <v>115</v>
      </c>
      <c r="L10" s="63">
        <v>115</v>
      </c>
      <c r="M10" s="64">
        <v>101</v>
      </c>
      <c r="N10" s="61">
        <f t="shared" si="0"/>
        <v>1491</v>
      </c>
    </row>
    <row r="11" spans="1:17" s="2" customFormat="1" x14ac:dyDescent="0.25">
      <c r="A11" s="62" t="s">
        <v>111</v>
      </c>
      <c r="B11" s="63">
        <v>101.61</v>
      </c>
      <c r="C11" s="63">
        <v>127.57</v>
      </c>
      <c r="D11" s="63">
        <v>127.57</v>
      </c>
      <c r="E11" s="63">
        <v>127.57</v>
      </c>
      <c r="F11" s="63">
        <v>127.57</v>
      </c>
      <c r="G11" s="63">
        <v>127.57</v>
      </c>
      <c r="H11" s="63">
        <v>127.57</v>
      </c>
      <c r="I11" s="63">
        <v>127.57</v>
      </c>
      <c r="J11" s="63">
        <v>138.74</v>
      </c>
      <c r="K11" s="63">
        <v>138.74</v>
      </c>
      <c r="L11" s="63">
        <v>138.74</v>
      </c>
      <c r="M11" s="64">
        <v>138.74</v>
      </c>
      <c r="N11" s="61">
        <f t="shared" si="0"/>
        <v>1549.56</v>
      </c>
    </row>
    <row r="12" spans="1:17" s="2" customFormat="1" ht="13.8" thickBot="1" x14ac:dyDescent="0.3">
      <c r="A12" s="65" t="s">
        <v>112</v>
      </c>
      <c r="B12" s="66">
        <v>211.33</v>
      </c>
      <c r="C12" s="66">
        <v>265.33</v>
      </c>
      <c r="D12" s="66">
        <v>265.33</v>
      </c>
      <c r="E12" s="66">
        <v>265.33</v>
      </c>
      <c r="F12" s="66">
        <v>265.33</v>
      </c>
      <c r="G12" s="66">
        <v>265.33</v>
      </c>
      <c r="H12" s="66">
        <v>265.33</v>
      </c>
      <c r="I12" s="66">
        <v>265.33</v>
      </c>
      <c r="J12" s="66">
        <v>265.33</v>
      </c>
      <c r="K12" s="66">
        <v>265.33</v>
      </c>
      <c r="L12" s="66">
        <v>265.33</v>
      </c>
      <c r="M12" s="67">
        <v>265.33</v>
      </c>
      <c r="N12" s="68">
        <f t="shared" si="0"/>
        <v>3129.9599999999996</v>
      </c>
    </row>
    <row r="13" spans="1:17" s="39" customFormat="1" ht="12" thickBot="1" x14ac:dyDescent="0.25">
      <c r="A13" s="34" t="s">
        <v>81</v>
      </c>
      <c r="B13" s="35">
        <f>SUM(B5:B6)-SUM(B8:B12)</f>
        <v>1844.6</v>
      </c>
      <c r="C13" s="35">
        <v>3354.86</v>
      </c>
      <c r="D13" s="35">
        <v>2217.61</v>
      </c>
      <c r="E13" s="35">
        <v>2217.41</v>
      </c>
      <c r="F13" s="35">
        <v>2217.61</v>
      </c>
      <c r="G13" s="36">
        <v>2217.41</v>
      </c>
      <c r="H13" s="35">
        <v>2241.48</v>
      </c>
      <c r="I13" s="35">
        <v>2241.69</v>
      </c>
      <c r="J13" s="35">
        <v>2223.65</v>
      </c>
      <c r="K13" s="35">
        <v>2223.4499999999998</v>
      </c>
      <c r="L13" s="35">
        <v>2223.65</v>
      </c>
      <c r="M13" s="37">
        <v>2237.65</v>
      </c>
      <c r="N13" s="38">
        <f>SUM(B13:M13)</f>
        <v>27461.070000000003</v>
      </c>
    </row>
    <row r="14" spans="1:17" s="2" customFormat="1" x14ac:dyDescent="0.25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1"/>
    </row>
    <row r="15" spans="1:17" x14ac:dyDescent="0.25">
      <c r="A15" s="49" t="s">
        <v>114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3"/>
    </row>
    <row r="16" spans="1:17" ht="21.75" customHeight="1" thickBot="1" x14ac:dyDescent="0.3">
      <c r="A16" s="74" t="s">
        <v>102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6"/>
      <c r="P16" s="7" t="s">
        <v>66</v>
      </c>
    </row>
    <row r="17" spans="1:16" s="2" customFormat="1" x14ac:dyDescent="0.25">
      <c r="A17" s="52" t="s">
        <v>20</v>
      </c>
      <c r="B17" s="55">
        <v>297.39999999999998</v>
      </c>
      <c r="C17" s="55">
        <f t="shared" ref="C17:M17" si="1">B17</f>
        <v>297.39999999999998</v>
      </c>
      <c r="D17" s="55">
        <f t="shared" si="1"/>
        <v>297.39999999999998</v>
      </c>
      <c r="E17" s="55">
        <f t="shared" si="1"/>
        <v>297.39999999999998</v>
      </c>
      <c r="F17" s="55">
        <f t="shared" si="1"/>
        <v>297.39999999999998</v>
      </c>
      <c r="G17" s="55">
        <f t="shared" si="1"/>
        <v>297.39999999999998</v>
      </c>
      <c r="H17" s="55">
        <v>594.79999999999995</v>
      </c>
      <c r="I17" s="55">
        <f t="shared" si="1"/>
        <v>594.79999999999995</v>
      </c>
      <c r="J17" s="55">
        <f t="shared" si="1"/>
        <v>594.79999999999995</v>
      </c>
      <c r="K17" s="55">
        <f t="shared" si="1"/>
        <v>594.79999999999995</v>
      </c>
      <c r="L17" s="55">
        <f t="shared" si="1"/>
        <v>594.79999999999995</v>
      </c>
      <c r="M17" s="56">
        <f t="shared" si="1"/>
        <v>594.79999999999995</v>
      </c>
      <c r="N17" s="77">
        <f t="shared" ref="N17:N23" si="2">SUM(B17:M17)</f>
        <v>5353.2000000000007</v>
      </c>
      <c r="P17" s="7"/>
    </row>
    <row r="18" spans="1:16" s="2" customFormat="1" x14ac:dyDescent="0.25">
      <c r="A18" s="62" t="s">
        <v>21</v>
      </c>
      <c r="B18" s="78">
        <v>40.29</v>
      </c>
      <c r="C18" s="78">
        <v>0</v>
      </c>
      <c r="D18" s="78">
        <v>0</v>
      </c>
      <c r="E18" s="78">
        <v>0</v>
      </c>
      <c r="F18" s="78">
        <v>0</v>
      </c>
      <c r="G18" s="78">
        <v>75</v>
      </c>
      <c r="H18" s="78">
        <v>0</v>
      </c>
      <c r="I18" s="78">
        <v>0</v>
      </c>
      <c r="J18" s="78">
        <v>113.69</v>
      </c>
      <c r="K18" s="78">
        <v>0</v>
      </c>
      <c r="L18" s="78">
        <v>92.97</v>
      </c>
      <c r="M18" s="79">
        <v>0</v>
      </c>
      <c r="N18" s="80">
        <f t="shared" si="2"/>
        <v>321.95</v>
      </c>
      <c r="P18" s="7"/>
    </row>
    <row r="19" spans="1:16" s="2" customFormat="1" x14ac:dyDescent="0.25">
      <c r="A19" s="52" t="s">
        <v>22</v>
      </c>
      <c r="B19" s="55">
        <v>0</v>
      </c>
      <c r="C19" s="55">
        <v>0</v>
      </c>
      <c r="D19" s="55">
        <v>0</v>
      </c>
      <c r="E19" s="55">
        <v>0</v>
      </c>
      <c r="F19" s="55">
        <v>63.25</v>
      </c>
      <c r="G19" s="55">
        <v>0</v>
      </c>
      <c r="H19" s="55">
        <v>0</v>
      </c>
      <c r="I19" s="55">
        <v>0</v>
      </c>
      <c r="J19" s="55">
        <v>519.26</v>
      </c>
      <c r="K19" s="55">
        <v>0</v>
      </c>
      <c r="L19" s="55">
        <v>0</v>
      </c>
      <c r="M19" s="56">
        <v>75</v>
      </c>
      <c r="N19" s="61">
        <f t="shared" si="2"/>
        <v>657.51</v>
      </c>
      <c r="P19" s="7"/>
    </row>
    <row r="20" spans="1:16" s="2" customFormat="1" x14ac:dyDescent="0.25">
      <c r="A20" s="62" t="s">
        <v>23</v>
      </c>
      <c r="B20" s="78">
        <v>19.98</v>
      </c>
      <c r="C20" s="78">
        <v>19.98</v>
      </c>
      <c r="D20" s="78">
        <v>19.98</v>
      </c>
      <c r="E20" s="78">
        <v>19.98</v>
      </c>
      <c r="F20" s="78">
        <v>19.98</v>
      </c>
      <c r="G20" s="78">
        <v>19.98</v>
      </c>
      <c r="H20" s="78">
        <v>39.96</v>
      </c>
      <c r="I20" s="78">
        <v>39.96</v>
      </c>
      <c r="J20" s="78">
        <v>32</v>
      </c>
      <c r="K20" s="78">
        <v>32</v>
      </c>
      <c r="L20" s="78">
        <v>32</v>
      </c>
      <c r="M20" s="79">
        <v>32</v>
      </c>
      <c r="N20" s="61">
        <f t="shared" si="2"/>
        <v>327.8</v>
      </c>
      <c r="P20" s="7"/>
    </row>
    <row r="21" spans="1:16" s="2" customFormat="1" x14ac:dyDescent="0.25">
      <c r="A21" s="81" t="s">
        <v>38</v>
      </c>
      <c r="B21" s="55">
        <v>56.25</v>
      </c>
      <c r="C21" s="55">
        <v>56.25</v>
      </c>
      <c r="D21" s="55">
        <v>56.25</v>
      </c>
      <c r="E21" s="55">
        <v>56.25</v>
      </c>
      <c r="F21" s="55">
        <v>56.25</v>
      </c>
      <c r="G21" s="55">
        <v>56.25</v>
      </c>
      <c r="H21" s="55">
        <v>112.5</v>
      </c>
      <c r="I21" s="55">
        <v>112.5</v>
      </c>
      <c r="J21" s="55">
        <v>112.5</v>
      </c>
      <c r="K21" s="55">
        <v>112.5</v>
      </c>
      <c r="L21" s="55">
        <v>112.5</v>
      </c>
      <c r="M21" s="55">
        <v>112.5</v>
      </c>
      <c r="N21" s="61">
        <f t="shared" si="2"/>
        <v>1012.5</v>
      </c>
      <c r="P21" s="7"/>
    </row>
    <row r="22" spans="1:16" s="2" customFormat="1" x14ac:dyDescent="0.25">
      <c r="A22" s="39" t="s">
        <v>25</v>
      </c>
      <c r="B22" s="78">
        <v>26.49</v>
      </c>
      <c r="C22" s="78">
        <v>26.49</v>
      </c>
      <c r="D22" s="78">
        <v>26.49</v>
      </c>
      <c r="E22" s="78">
        <v>26.49</v>
      </c>
      <c r="F22" s="78">
        <v>26.49</v>
      </c>
      <c r="G22" s="78">
        <v>26.49</v>
      </c>
      <c r="H22" s="78">
        <v>52.98</v>
      </c>
      <c r="I22" s="78">
        <v>52.98</v>
      </c>
      <c r="J22" s="78">
        <v>52.98</v>
      </c>
      <c r="K22" s="78">
        <v>52.98</v>
      </c>
      <c r="L22" s="78">
        <v>52.98</v>
      </c>
      <c r="M22" s="79">
        <v>52.98</v>
      </c>
      <c r="N22" s="61">
        <f t="shared" si="2"/>
        <v>476.82000000000005</v>
      </c>
      <c r="P22" s="7"/>
    </row>
    <row r="23" spans="1:16" s="2" customFormat="1" x14ac:dyDescent="0.25">
      <c r="A23" s="52" t="s">
        <v>24</v>
      </c>
      <c r="B23" s="55">
        <v>0</v>
      </c>
      <c r="C23" s="55">
        <v>116.11</v>
      </c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6">
        <v>0</v>
      </c>
      <c r="N23" s="61">
        <f t="shared" si="2"/>
        <v>116.11</v>
      </c>
    </row>
    <row r="24" spans="1:16" s="2" customFormat="1" x14ac:dyDescent="0.25">
      <c r="A24" s="62" t="s">
        <v>58</v>
      </c>
      <c r="B24" s="82">
        <v>1570</v>
      </c>
      <c r="C24" s="78">
        <f>27.5+100</f>
        <v>127.5</v>
      </c>
      <c r="D24" s="78">
        <f>12.5+62.5</f>
        <v>75</v>
      </c>
      <c r="E24" s="78">
        <v>100</v>
      </c>
      <c r="F24" s="82">
        <v>5955.5</v>
      </c>
      <c r="G24" s="78">
        <v>27.7</v>
      </c>
      <c r="H24" s="78">
        <v>25</v>
      </c>
      <c r="I24" s="78">
        <f>12.97+38.5</f>
        <v>51.47</v>
      </c>
      <c r="J24" s="78">
        <v>34</v>
      </c>
      <c r="K24" s="78">
        <v>0</v>
      </c>
      <c r="L24" s="78">
        <v>12</v>
      </c>
      <c r="M24" s="79">
        <v>0</v>
      </c>
      <c r="N24" s="61">
        <f>SUM(C24:E24)+SUM(G24:M24)</f>
        <v>452.67</v>
      </c>
    </row>
    <row r="25" spans="1:16" s="2" customFormat="1" x14ac:dyDescent="0.25">
      <c r="A25" s="62" t="s">
        <v>53</v>
      </c>
      <c r="B25" s="78">
        <v>6.69</v>
      </c>
      <c r="C25" s="78">
        <v>6.69</v>
      </c>
      <c r="D25" s="78">
        <v>6.69</v>
      </c>
      <c r="E25" s="78">
        <v>6.69</v>
      </c>
      <c r="F25" s="78">
        <v>6.69</v>
      </c>
      <c r="G25" s="78">
        <v>6.69</v>
      </c>
      <c r="H25" s="78">
        <v>13.25</v>
      </c>
      <c r="I25" s="78">
        <v>13.25</v>
      </c>
      <c r="J25" s="78">
        <v>13.25</v>
      </c>
      <c r="K25" s="78">
        <v>13.25</v>
      </c>
      <c r="L25" s="78">
        <v>13.25</v>
      </c>
      <c r="M25" s="79">
        <v>13.25</v>
      </c>
      <c r="N25" s="61">
        <f>SUM(B25:M25)</f>
        <v>119.64</v>
      </c>
    </row>
    <row r="26" spans="1:16" s="2" customFormat="1" x14ac:dyDescent="0.25">
      <c r="A26" s="62" t="s">
        <v>57</v>
      </c>
      <c r="B26" s="78">
        <v>0</v>
      </c>
      <c r="C26" s="78">
        <v>0</v>
      </c>
      <c r="D26" s="78">
        <v>10</v>
      </c>
      <c r="E26" s="78">
        <v>0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0</v>
      </c>
      <c r="L26" s="78">
        <v>0</v>
      </c>
      <c r="M26" s="79">
        <v>15</v>
      </c>
      <c r="N26" s="61">
        <f>SUM(B26:M26)</f>
        <v>25</v>
      </c>
    </row>
    <row r="27" spans="1:16" s="2" customFormat="1" x14ac:dyDescent="0.25">
      <c r="A27" s="62" t="s">
        <v>78</v>
      </c>
      <c r="B27" s="78">
        <v>44.76</v>
      </c>
      <c r="C27" s="78">
        <v>0</v>
      </c>
      <c r="D27" s="78">
        <v>10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  <c r="L27" s="78">
        <v>0</v>
      </c>
      <c r="M27" s="79">
        <f>43+3.45+373</f>
        <v>419.45</v>
      </c>
      <c r="N27" s="61">
        <f>SUM(B27:M27)</f>
        <v>474.21</v>
      </c>
    </row>
    <row r="28" spans="1:16" s="2" customFormat="1" ht="13.8" thickBot="1" x14ac:dyDescent="0.3">
      <c r="A28" s="65" t="s">
        <v>98</v>
      </c>
      <c r="B28" s="83">
        <v>0</v>
      </c>
      <c r="C28" s="83">
        <v>0</v>
      </c>
      <c r="D28" s="83">
        <v>0</v>
      </c>
      <c r="E28" s="83">
        <v>0</v>
      </c>
      <c r="F28" s="83">
        <v>44</v>
      </c>
      <c r="G28" s="83">
        <v>0</v>
      </c>
      <c r="H28" s="83">
        <v>15</v>
      </c>
      <c r="I28" s="83">
        <v>0</v>
      </c>
      <c r="J28" s="83">
        <v>0</v>
      </c>
      <c r="K28" s="83">
        <v>0</v>
      </c>
      <c r="L28" s="83">
        <v>0</v>
      </c>
      <c r="M28" s="84">
        <v>0</v>
      </c>
      <c r="N28" s="85">
        <f>SUM(B28:M28)</f>
        <v>59</v>
      </c>
    </row>
    <row r="29" spans="1:16" s="39" customFormat="1" ht="12" thickBot="1" x14ac:dyDescent="0.25">
      <c r="A29" s="40" t="s">
        <v>13</v>
      </c>
      <c r="B29" s="35">
        <f>SUM(B17:B23)+B25+B26+B27</f>
        <v>491.86</v>
      </c>
      <c r="C29" s="35">
        <f>SUM(C$17:C$27)</f>
        <v>650.42000000000007</v>
      </c>
      <c r="D29" s="35">
        <f>SUM(D$17:D$28)</f>
        <v>501.81</v>
      </c>
      <c r="E29" s="35">
        <f>SUM(E$17:E$28)</f>
        <v>506.81</v>
      </c>
      <c r="F29" s="41">
        <f>SUM(F$17:F$23)+F25+F26+F27+F28</f>
        <v>514.05999999999995</v>
      </c>
      <c r="G29" s="35">
        <f>SUM(G$17:G$28)</f>
        <v>509.51</v>
      </c>
      <c r="H29" s="35">
        <f t="shared" ref="H29:I29" si="3">SUM(H$17:H$27)</f>
        <v>838.49</v>
      </c>
      <c r="I29" s="35">
        <f t="shared" si="3"/>
        <v>864.96</v>
      </c>
      <c r="J29" s="35">
        <f>SUM(J$17:J$28)</f>
        <v>1472.48</v>
      </c>
      <c r="K29" s="35">
        <f>SUM(K$17:K$28)</f>
        <v>805.53</v>
      </c>
      <c r="L29" s="35">
        <f>SUM(L$17:L$28)</f>
        <v>910.5</v>
      </c>
      <c r="M29" s="35">
        <f>SUM(M$17:M$28)</f>
        <v>1314.98</v>
      </c>
      <c r="N29" s="38">
        <f>SUM(B29:M29)</f>
        <v>9381.41</v>
      </c>
      <c r="P29" s="42"/>
    </row>
    <row r="30" spans="1:16" x14ac:dyDescent="0.25">
      <c r="A30" s="86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8"/>
    </row>
    <row r="31" spans="1:16" ht="21.75" customHeight="1" thickBot="1" x14ac:dyDescent="0.3">
      <c r="A31" s="74" t="s">
        <v>33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6"/>
    </row>
    <row r="32" spans="1:16" s="2" customFormat="1" x14ac:dyDescent="0.25">
      <c r="A32" s="52" t="s">
        <v>4</v>
      </c>
      <c r="B32" s="55">
        <f>(16.85)+(67.56)+(12.89)+(15.16)+(5.7)+(14.35)+(13.23)+(13.05)+(50)+(30)</f>
        <v>238.79</v>
      </c>
      <c r="C32" s="55">
        <f>30+8.72+13.05+5.99+11.55+15.3+40.65+14.75</f>
        <v>140.01</v>
      </c>
      <c r="D32" s="55">
        <f>4.64+50+11.4+50+6.3+17+5+3.6</f>
        <v>147.94</v>
      </c>
      <c r="E32" s="55">
        <f>15+32.67+5+25.79+12.5+19+5.3</f>
        <v>115.26</v>
      </c>
      <c r="F32" s="55">
        <f>11.16+23+26.05+35+5.8+4.5+8.4+16.9</f>
        <v>130.81</v>
      </c>
      <c r="G32" s="55">
        <f>17.81+8+59.39+6.7+11.45+5.8+10+34.1+11.95+11.09+8.5+10.81</f>
        <v>195.6</v>
      </c>
      <c r="H32" s="55">
        <f>5.38+10.81+4.75+19.55+2.99+15+19.93+27.49</f>
        <v>105.89999999999999</v>
      </c>
      <c r="I32" s="55">
        <f>22.9+15+6.9+11.49+49.75+10.01+5.65+11.8</f>
        <v>133.5</v>
      </c>
      <c r="J32" s="55">
        <f>10.89+13.45+17.25+17.99+3.2+31.7+15.2+9.64+24.99+37.61+20.01+11.45</f>
        <v>213.38</v>
      </c>
      <c r="K32" s="55">
        <f>12.95+18.25+17.55+2.8+4.26+40+15.69+6+50.63+12.4+11.3+8.75</f>
        <v>200.58</v>
      </c>
      <c r="L32" s="89">
        <f>0.3+6+52+2.5+4.89+4.65+3.35</f>
        <v>73.69</v>
      </c>
      <c r="M32" s="56">
        <f>26.65+8.25+15.19+57.55+29.15+27+23.93+27.25+10</f>
        <v>224.97</v>
      </c>
      <c r="N32" s="54">
        <f t="shared" ref="N32:N35" si="4">SUM(B32:M32)</f>
        <v>1920.43</v>
      </c>
    </row>
    <row r="33" spans="1:14" s="2" customFormat="1" x14ac:dyDescent="0.25">
      <c r="A33" s="62" t="s">
        <v>59</v>
      </c>
      <c r="B33" s="78">
        <v>0</v>
      </c>
      <c r="C33" s="78">
        <v>44.46</v>
      </c>
      <c r="D33" s="78">
        <v>0</v>
      </c>
      <c r="E33" s="78">
        <v>0</v>
      </c>
      <c r="F33" s="78">
        <v>0</v>
      </c>
      <c r="G33" s="78">
        <v>13.5</v>
      </c>
      <c r="H33" s="78">
        <f>38.96+30+31.05</f>
        <v>100.01</v>
      </c>
      <c r="I33" s="78">
        <v>0</v>
      </c>
      <c r="J33" s="78">
        <v>0</v>
      </c>
      <c r="K33" s="78">
        <v>0</v>
      </c>
      <c r="L33" s="78">
        <v>8.9</v>
      </c>
      <c r="M33" s="79">
        <f>5.79</f>
        <v>5.79</v>
      </c>
      <c r="N33" s="61">
        <f t="shared" si="4"/>
        <v>172.66</v>
      </c>
    </row>
    <row r="34" spans="1:14" s="2" customFormat="1" x14ac:dyDescent="0.25">
      <c r="A34" s="62" t="s">
        <v>63</v>
      </c>
      <c r="B34" s="55">
        <f>17.6+18.5</f>
        <v>36.1</v>
      </c>
      <c r="C34" s="55">
        <f>20.09+28.98+28+41</f>
        <v>118.07</v>
      </c>
      <c r="D34" s="55">
        <v>132.43</v>
      </c>
      <c r="E34" s="55">
        <v>30</v>
      </c>
      <c r="F34" s="55">
        <f>15.2+17+3+11.94</f>
        <v>47.14</v>
      </c>
      <c r="G34" s="55">
        <f>30+15</f>
        <v>45</v>
      </c>
      <c r="H34" s="55">
        <v>22</v>
      </c>
      <c r="I34" s="55">
        <f>22.22+25+14.3+9.86</f>
        <v>71.38</v>
      </c>
      <c r="J34" s="55">
        <f>14.76+9.5+13.2+17</f>
        <v>54.459999999999994</v>
      </c>
      <c r="K34" s="55">
        <f>14+6.18+20.5+10.45+13.94+23.2</f>
        <v>88.27</v>
      </c>
      <c r="L34" s="89">
        <f>17.5+31</f>
        <v>48.5</v>
      </c>
      <c r="M34" s="56">
        <f>22.55+25+24.92</f>
        <v>72.47</v>
      </c>
      <c r="N34" s="61">
        <f t="shared" si="4"/>
        <v>765.82</v>
      </c>
    </row>
    <row r="35" spans="1:14" s="2" customFormat="1" x14ac:dyDescent="0.25">
      <c r="A35" s="62" t="s">
        <v>77</v>
      </c>
      <c r="B35" s="78">
        <f>4.59+4.59+5.95+2.95</f>
        <v>18.079999999999998</v>
      </c>
      <c r="C35" s="78">
        <f>4.89+16.65+0.9</f>
        <v>22.439999999999998</v>
      </c>
      <c r="D35" s="78">
        <f>5+16.5+0.9</f>
        <v>22.4</v>
      </c>
      <c r="E35" s="78">
        <f>5.35+3.3+22</f>
        <v>30.65</v>
      </c>
      <c r="F35" s="78">
        <f>3.99+5.68</f>
        <v>9.67</v>
      </c>
      <c r="G35" s="78">
        <v>0</v>
      </c>
      <c r="H35" s="78">
        <v>0</v>
      </c>
      <c r="I35" s="78">
        <v>4.25</v>
      </c>
      <c r="J35" s="78">
        <f>8+5.5+0.9+7.5</f>
        <v>21.9</v>
      </c>
      <c r="K35" s="78">
        <f>6.95+0.9+1.3+12.35+5</f>
        <v>26.5</v>
      </c>
      <c r="L35" s="90">
        <f>7.99+8.75+9.89+3.45</f>
        <v>30.080000000000002</v>
      </c>
      <c r="M35" s="79">
        <f>16+15+6.79+5.65</f>
        <v>43.44</v>
      </c>
      <c r="N35" s="61">
        <f t="shared" si="4"/>
        <v>229.41</v>
      </c>
    </row>
    <row r="36" spans="1:14" s="2" customFormat="1" ht="13.8" thickBot="1" x14ac:dyDescent="0.3">
      <c r="A36" s="39" t="s">
        <v>31</v>
      </c>
      <c r="B36" s="83">
        <f>7.4+2.4+4.6+31.4</f>
        <v>45.8</v>
      </c>
      <c r="C36" s="83">
        <f>17.9+10.42+3.81</f>
        <v>32.130000000000003</v>
      </c>
      <c r="D36" s="91">
        <v>0</v>
      </c>
      <c r="E36" s="91">
        <v>0</v>
      </c>
      <c r="F36" s="91">
        <v>0</v>
      </c>
      <c r="G36" s="91">
        <f>40+5.7</f>
        <v>45.7</v>
      </c>
      <c r="H36" s="91">
        <v>0</v>
      </c>
      <c r="I36" s="91">
        <v>0</v>
      </c>
      <c r="J36" s="91">
        <v>0</v>
      </c>
      <c r="K36" s="91">
        <v>0</v>
      </c>
      <c r="L36" s="91">
        <v>0</v>
      </c>
      <c r="M36" s="92">
        <v>0</v>
      </c>
      <c r="N36" s="68">
        <f>SUM(B36:M36)</f>
        <v>123.63000000000001</v>
      </c>
    </row>
    <row r="37" spans="1:14" s="39" customFormat="1" ht="12" thickBot="1" x14ac:dyDescent="0.25">
      <c r="A37" s="40" t="s">
        <v>6</v>
      </c>
      <c r="B37" s="35">
        <f>SUM(B32:B36)</f>
        <v>338.77</v>
      </c>
      <c r="C37" s="35">
        <f t="shared" ref="C37:M37" si="5">SUM(C32:C36)</f>
        <v>357.10999999999996</v>
      </c>
      <c r="D37" s="35">
        <f t="shared" si="5"/>
        <v>302.77</v>
      </c>
      <c r="E37" s="35">
        <f t="shared" si="5"/>
        <v>175.91</v>
      </c>
      <c r="F37" s="35">
        <f t="shared" si="5"/>
        <v>187.61999999999998</v>
      </c>
      <c r="G37" s="35">
        <f t="shared" si="5"/>
        <v>299.8</v>
      </c>
      <c r="H37" s="35">
        <f t="shared" si="5"/>
        <v>227.91</v>
      </c>
      <c r="I37" s="35">
        <f t="shared" si="5"/>
        <v>209.13</v>
      </c>
      <c r="J37" s="35">
        <f t="shared" si="5"/>
        <v>289.73999999999995</v>
      </c>
      <c r="K37" s="35">
        <f t="shared" si="5"/>
        <v>315.35000000000002</v>
      </c>
      <c r="L37" s="35">
        <f t="shared" si="5"/>
        <v>161.17000000000002</v>
      </c>
      <c r="M37" s="37">
        <f t="shared" si="5"/>
        <v>346.67</v>
      </c>
      <c r="N37" s="38">
        <f>SUM(B37:M37)</f>
        <v>3211.95</v>
      </c>
    </row>
    <row r="38" spans="1:14" x14ac:dyDescent="0.25">
      <c r="A38" s="86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8"/>
    </row>
    <row r="39" spans="1:14" ht="21.75" customHeight="1" thickBot="1" x14ac:dyDescent="0.3">
      <c r="A39" s="74" t="s">
        <v>9</v>
      </c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6"/>
    </row>
    <row r="40" spans="1:14" s="2" customFormat="1" ht="13.5" customHeight="1" x14ac:dyDescent="0.25">
      <c r="A40" s="52" t="s">
        <v>107</v>
      </c>
      <c r="B40" s="55">
        <v>172.7</v>
      </c>
      <c r="C40" s="55">
        <v>172.7</v>
      </c>
      <c r="D40" s="55">
        <v>172.7</v>
      </c>
      <c r="E40" s="55">
        <v>172.7</v>
      </c>
      <c r="F40" s="55">
        <v>172.7</v>
      </c>
      <c r="G40" s="55">
        <v>172.7</v>
      </c>
      <c r="H40" s="55">
        <v>172.7</v>
      </c>
      <c r="I40" s="55">
        <v>172.7</v>
      </c>
      <c r="J40" s="55">
        <v>172.7</v>
      </c>
      <c r="K40" s="55">
        <v>172.7</v>
      </c>
      <c r="L40" s="55">
        <v>172.7</v>
      </c>
      <c r="M40" s="56">
        <v>172.7</v>
      </c>
      <c r="N40" s="54">
        <f t="shared" ref="N40:N47" si="6">SUM(B40:M40)</f>
        <v>2072.4</v>
      </c>
    </row>
    <row r="41" spans="1:14" s="2" customFormat="1" ht="13.5" customHeight="1" x14ac:dyDescent="0.25">
      <c r="A41" s="52" t="s">
        <v>106</v>
      </c>
      <c r="B41" s="55">
        <v>0</v>
      </c>
      <c r="C41" s="55">
        <v>0</v>
      </c>
      <c r="D41" s="55">
        <v>0</v>
      </c>
      <c r="E41" s="55">
        <v>135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93">
        <f>SUM(B41:M41)</f>
        <v>135</v>
      </c>
    </row>
    <row r="42" spans="1:14" s="2" customFormat="1" ht="13.5" customHeight="1" x14ac:dyDescent="0.25">
      <c r="A42" s="62" t="s">
        <v>28</v>
      </c>
      <c r="B42" s="55">
        <v>0</v>
      </c>
      <c r="C42" s="55">
        <v>0</v>
      </c>
      <c r="D42" s="55">
        <v>0</v>
      </c>
      <c r="E42" s="55">
        <v>0</v>
      </c>
      <c r="F42" s="55">
        <v>0</v>
      </c>
      <c r="G42" s="55">
        <v>0</v>
      </c>
      <c r="H42" s="55">
        <v>0</v>
      </c>
      <c r="I42" s="55">
        <v>399.04</v>
      </c>
      <c r="J42" s="55">
        <v>0</v>
      </c>
      <c r="K42" s="55">
        <v>0</v>
      </c>
      <c r="L42" s="55">
        <v>0</v>
      </c>
      <c r="M42" s="56">
        <v>0</v>
      </c>
      <c r="N42" s="61">
        <f>SUM(B42:M42)</f>
        <v>399.04</v>
      </c>
    </row>
    <row r="43" spans="1:14" s="2" customFormat="1" x14ac:dyDescent="0.25">
      <c r="A43" s="62" t="s">
        <v>105</v>
      </c>
      <c r="B43" s="78">
        <v>0</v>
      </c>
      <c r="C43" s="78">
        <v>0</v>
      </c>
      <c r="D43" s="78">
        <v>0</v>
      </c>
      <c r="E43" s="78">
        <v>0</v>
      </c>
      <c r="F43" s="78">
        <v>0</v>
      </c>
      <c r="G43" s="78">
        <v>0</v>
      </c>
      <c r="H43" s="78">
        <v>0</v>
      </c>
      <c r="I43" s="78">
        <v>0</v>
      </c>
      <c r="J43" s="78">
        <v>0</v>
      </c>
      <c r="K43" s="78">
        <v>0</v>
      </c>
      <c r="L43" s="78">
        <v>0</v>
      </c>
      <c r="M43" s="79">
        <v>58.81</v>
      </c>
      <c r="N43" s="61">
        <f t="shared" si="6"/>
        <v>58.81</v>
      </c>
    </row>
    <row r="44" spans="1:14" s="2" customFormat="1" x14ac:dyDescent="0.25">
      <c r="A44" s="62" t="s">
        <v>27</v>
      </c>
      <c r="B44" s="78">
        <f>30+30</f>
        <v>60</v>
      </c>
      <c r="C44" s="78">
        <v>81.83</v>
      </c>
      <c r="D44" s="78">
        <f>40+40</f>
        <v>80</v>
      </c>
      <c r="E44" s="78">
        <v>0</v>
      </c>
      <c r="F44" s="78">
        <v>30</v>
      </c>
      <c r="G44" s="78">
        <v>30</v>
      </c>
      <c r="H44" s="78">
        <v>0</v>
      </c>
      <c r="I44" s="78">
        <v>0</v>
      </c>
      <c r="J44" s="78">
        <v>30</v>
      </c>
      <c r="K44" s="78">
        <v>30</v>
      </c>
      <c r="L44" s="78">
        <f>30+30</f>
        <v>60</v>
      </c>
      <c r="M44" s="79">
        <v>30</v>
      </c>
      <c r="N44" s="61">
        <f>SUM(B44:M44)</f>
        <v>431.83</v>
      </c>
    </row>
    <row r="45" spans="1:14" s="2" customFormat="1" x14ac:dyDescent="0.25">
      <c r="A45" s="52" t="s">
        <v>29</v>
      </c>
      <c r="B45" s="55">
        <v>0</v>
      </c>
      <c r="C45" s="55">
        <v>0</v>
      </c>
      <c r="D45" s="55">
        <f>19.98+30.5</f>
        <v>50.480000000000004</v>
      </c>
      <c r="E45" s="55">
        <v>0</v>
      </c>
      <c r="F45" s="55">
        <v>0</v>
      </c>
      <c r="G45" s="55">
        <v>0</v>
      </c>
      <c r="H45" s="55">
        <v>0</v>
      </c>
      <c r="I45" s="55">
        <f>12+5.79</f>
        <v>17.79</v>
      </c>
      <c r="J45" s="55">
        <v>0</v>
      </c>
      <c r="K45" s="55">
        <v>0</v>
      </c>
      <c r="L45" s="55">
        <v>0</v>
      </c>
      <c r="M45" s="56">
        <v>0</v>
      </c>
      <c r="N45" s="61">
        <f t="shared" si="6"/>
        <v>68.27000000000001</v>
      </c>
    </row>
    <row r="46" spans="1:14" s="2" customFormat="1" x14ac:dyDescent="0.25">
      <c r="A46" s="52" t="s">
        <v>10</v>
      </c>
      <c r="B46" s="55">
        <f>0.23+1.9+1.01+2.28+0.35</f>
        <v>5.77</v>
      </c>
      <c r="C46" s="55">
        <v>0</v>
      </c>
      <c r="D46" s="55">
        <v>0</v>
      </c>
      <c r="E46" s="55">
        <v>0</v>
      </c>
      <c r="F46" s="55">
        <f>SUM(0.48+0.48)</f>
        <v>0.96</v>
      </c>
      <c r="G46" s="55">
        <v>0</v>
      </c>
      <c r="H46" s="55">
        <v>0</v>
      </c>
      <c r="I46" s="55">
        <v>2.62</v>
      </c>
      <c r="J46" s="55">
        <v>0</v>
      </c>
      <c r="K46" s="55">
        <v>0</v>
      </c>
      <c r="L46" s="55">
        <v>0</v>
      </c>
      <c r="M46" s="56">
        <v>0</v>
      </c>
      <c r="N46" s="61">
        <f t="shared" si="6"/>
        <v>9.35</v>
      </c>
    </row>
    <row r="47" spans="1:14" s="2" customFormat="1" x14ac:dyDescent="0.25">
      <c r="A47" s="62" t="s">
        <v>11</v>
      </c>
      <c r="B47" s="78">
        <f>14+1+14+14+14</f>
        <v>57</v>
      </c>
      <c r="C47" s="78">
        <f>14+14</f>
        <v>28</v>
      </c>
      <c r="D47" s="78">
        <v>14</v>
      </c>
      <c r="E47" s="78">
        <v>14</v>
      </c>
      <c r="F47" s="78">
        <v>14</v>
      </c>
      <c r="G47" s="78">
        <v>9.3000000000000007</v>
      </c>
      <c r="H47" s="78">
        <v>0</v>
      </c>
      <c r="I47" s="78">
        <v>0</v>
      </c>
      <c r="J47" s="78">
        <f>14+14</f>
        <v>28</v>
      </c>
      <c r="K47" s="78">
        <v>14</v>
      </c>
      <c r="L47" s="78">
        <v>5.83</v>
      </c>
      <c r="M47" s="79">
        <v>15</v>
      </c>
      <c r="N47" s="61">
        <f t="shared" si="6"/>
        <v>199.13000000000002</v>
      </c>
    </row>
    <row r="48" spans="1:14" s="2" customFormat="1" ht="13.8" thickBot="1" x14ac:dyDescent="0.3">
      <c r="A48" s="65" t="s">
        <v>72</v>
      </c>
      <c r="B48" s="83">
        <v>8.4</v>
      </c>
      <c r="C48" s="83">
        <v>0</v>
      </c>
      <c r="D48" s="83">
        <v>0</v>
      </c>
      <c r="E48" s="83">
        <v>0</v>
      </c>
      <c r="F48" s="83">
        <v>0</v>
      </c>
      <c r="G48" s="83">
        <v>0</v>
      </c>
      <c r="H48" s="83">
        <v>0</v>
      </c>
      <c r="I48" s="83">
        <v>0</v>
      </c>
      <c r="J48" s="83">
        <v>0</v>
      </c>
      <c r="K48" s="83">
        <v>0</v>
      </c>
      <c r="L48" s="83">
        <v>9</v>
      </c>
      <c r="M48" s="84">
        <v>0</v>
      </c>
      <c r="N48" s="68">
        <f>SUM(B48:M48)</f>
        <v>17.399999999999999</v>
      </c>
    </row>
    <row r="49" spans="1:14" s="39" customFormat="1" ht="12" thickBot="1" x14ac:dyDescent="0.25">
      <c r="A49" s="40" t="s">
        <v>14</v>
      </c>
      <c r="B49" s="35">
        <f t="shared" ref="B49:M49" si="7">SUM(B$40:B$48)</f>
        <v>303.87</v>
      </c>
      <c r="C49" s="35">
        <f t="shared" si="7"/>
        <v>282.52999999999997</v>
      </c>
      <c r="D49" s="35">
        <f t="shared" si="7"/>
        <v>317.18</v>
      </c>
      <c r="E49" s="35">
        <f t="shared" si="7"/>
        <v>321.7</v>
      </c>
      <c r="F49" s="35">
        <f t="shared" si="7"/>
        <v>217.66</v>
      </c>
      <c r="G49" s="35">
        <f t="shared" si="7"/>
        <v>212</v>
      </c>
      <c r="H49" s="35">
        <f t="shared" si="7"/>
        <v>172.7</v>
      </c>
      <c r="I49" s="35">
        <f t="shared" si="7"/>
        <v>592.15</v>
      </c>
      <c r="J49" s="35">
        <f t="shared" si="7"/>
        <v>230.7</v>
      </c>
      <c r="K49" s="35">
        <f t="shared" si="7"/>
        <v>216.7</v>
      </c>
      <c r="L49" s="35">
        <f t="shared" si="7"/>
        <v>247.53</v>
      </c>
      <c r="M49" s="37">
        <f t="shared" si="7"/>
        <v>276.51</v>
      </c>
      <c r="N49" s="38">
        <f>SUM(B49:M49)</f>
        <v>3391.2299999999996</v>
      </c>
    </row>
    <row r="50" spans="1:14" x14ac:dyDescent="0.25">
      <c r="A50" s="86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8"/>
    </row>
    <row r="51" spans="1:14" ht="21.75" customHeight="1" thickBot="1" x14ac:dyDescent="0.3">
      <c r="A51" s="74" t="s">
        <v>91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6"/>
    </row>
    <row r="52" spans="1:14" s="2" customFormat="1" x14ac:dyDescent="0.25">
      <c r="A52" s="52" t="s">
        <v>76</v>
      </c>
      <c r="B52" s="55">
        <v>10.99</v>
      </c>
      <c r="C52" s="55">
        <v>10.99</v>
      </c>
      <c r="D52" s="55">
        <v>10.99</v>
      </c>
      <c r="E52" s="55">
        <v>10.99</v>
      </c>
      <c r="F52" s="55">
        <v>10.99</v>
      </c>
      <c r="G52" s="55">
        <v>10.99</v>
      </c>
      <c r="H52" s="55">
        <v>10.99</v>
      </c>
      <c r="I52" s="55">
        <v>10.99</v>
      </c>
      <c r="J52" s="55">
        <v>10.99</v>
      </c>
      <c r="K52" s="55">
        <v>10.99</v>
      </c>
      <c r="L52" s="55">
        <v>10.99</v>
      </c>
      <c r="M52" s="56">
        <v>10.99</v>
      </c>
      <c r="N52" s="54">
        <f t="shared" ref="N52:N57" si="8">SUM(B52:M52)</f>
        <v>131.87999999999997</v>
      </c>
    </row>
    <row r="53" spans="1:14" s="2" customFormat="1" x14ac:dyDescent="0.25">
      <c r="A53" s="52" t="s">
        <v>75</v>
      </c>
      <c r="B53" s="55">
        <f>7.99+14+16</f>
        <v>37.99</v>
      </c>
      <c r="C53" s="55">
        <v>10.99</v>
      </c>
      <c r="D53" s="55">
        <v>7.99</v>
      </c>
      <c r="E53" s="55">
        <v>7.99</v>
      </c>
      <c r="F53" s="55">
        <v>7.99</v>
      </c>
      <c r="G53" s="55">
        <v>7.99</v>
      </c>
      <c r="H53" s="55">
        <v>7.99</v>
      </c>
      <c r="I53" s="55">
        <v>7.99</v>
      </c>
      <c r="J53" s="55">
        <v>7.99</v>
      </c>
      <c r="K53" s="55">
        <v>8.99</v>
      </c>
      <c r="L53" s="55">
        <v>8.99</v>
      </c>
      <c r="M53" s="55">
        <v>8.99</v>
      </c>
      <c r="N53" s="61">
        <f t="shared" si="8"/>
        <v>131.87999999999997</v>
      </c>
    </row>
    <row r="54" spans="1:14" s="2" customFormat="1" x14ac:dyDescent="0.25">
      <c r="A54" s="52" t="s">
        <v>74</v>
      </c>
      <c r="B54" s="55">
        <v>0</v>
      </c>
      <c r="C54" s="55">
        <v>0</v>
      </c>
      <c r="D54" s="55">
        <v>0</v>
      </c>
      <c r="E54" s="55">
        <v>0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79.900000000000006</v>
      </c>
      <c r="L54" s="55">
        <v>0</v>
      </c>
      <c r="M54" s="56">
        <v>0</v>
      </c>
      <c r="N54" s="61">
        <f t="shared" si="8"/>
        <v>79.900000000000006</v>
      </c>
    </row>
    <row r="55" spans="1:14" s="2" customFormat="1" x14ac:dyDescent="0.25">
      <c r="A55" s="62" t="s">
        <v>73</v>
      </c>
      <c r="B55" s="78">
        <v>6.99</v>
      </c>
      <c r="C55" s="78">
        <v>6.99</v>
      </c>
      <c r="D55" s="78">
        <v>6.99</v>
      </c>
      <c r="E55" s="78">
        <v>6.99</v>
      </c>
      <c r="F55" s="78">
        <v>6.99</v>
      </c>
      <c r="G55" s="78">
        <v>6.99</v>
      </c>
      <c r="H55" s="78">
        <v>6.99</v>
      </c>
      <c r="I55" s="78">
        <v>6.99</v>
      </c>
      <c r="J55" s="78">
        <v>6.99</v>
      </c>
      <c r="K55" s="78">
        <v>6.99</v>
      </c>
      <c r="L55" s="78">
        <v>6.99</v>
      </c>
      <c r="M55" s="79">
        <v>6.99</v>
      </c>
      <c r="N55" s="61">
        <f t="shared" si="8"/>
        <v>83.88</v>
      </c>
    </row>
    <row r="56" spans="1:14" s="2" customFormat="1" x14ac:dyDescent="0.25">
      <c r="A56" s="52" t="s">
        <v>30</v>
      </c>
      <c r="B56" s="55">
        <v>0</v>
      </c>
      <c r="C56" s="55">
        <v>22.5</v>
      </c>
      <c r="D56" s="55">
        <v>0</v>
      </c>
      <c r="E56" s="55">
        <v>15.99</v>
      </c>
      <c r="F56" s="55">
        <v>0</v>
      </c>
      <c r="G56" s="55">
        <v>0</v>
      </c>
      <c r="H56" s="55">
        <v>25.6</v>
      </c>
      <c r="I56" s="55">
        <v>0</v>
      </c>
      <c r="J56" s="55">
        <v>0</v>
      </c>
      <c r="K56" s="55">
        <v>0</v>
      </c>
      <c r="L56" s="89">
        <v>0</v>
      </c>
      <c r="M56" s="94">
        <f>15.2+19</f>
        <v>34.200000000000003</v>
      </c>
      <c r="N56" s="61">
        <f t="shared" si="8"/>
        <v>98.29</v>
      </c>
    </row>
    <row r="57" spans="1:14" s="2" customFormat="1" x14ac:dyDescent="0.25">
      <c r="A57" s="62" t="s">
        <v>64</v>
      </c>
      <c r="B57" s="78">
        <v>0</v>
      </c>
      <c r="C57" s="78">
        <v>0</v>
      </c>
      <c r="D57" s="78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  <c r="L57" s="78">
        <v>0</v>
      </c>
      <c r="M57" s="79">
        <v>15</v>
      </c>
      <c r="N57" s="80">
        <f t="shared" si="8"/>
        <v>15</v>
      </c>
    </row>
    <row r="58" spans="1:14" s="2" customFormat="1" ht="13.8" thickBot="1" x14ac:dyDescent="0.3">
      <c r="A58" s="65" t="s">
        <v>85</v>
      </c>
      <c r="B58" s="83">
        <v>49.99</v>
      </c>
      <c r="C58" s="83">
        <v>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83">
        <v>0</v>
      </c>
      <c r="J58" s="83">
        <v>0</v>
      </c>
      <c r="K58" s="83">
        <v>0</v>
      </c>
      <c r="L58" s="83">
        <v>0</v>
      </c>
      <c r="M58" s="84">
        <v>0</v>
      </c>
      <c r="N58" s="95">
        <f>SUM(B58:M58)</f>
        <v>49.99</v>
      </c>
    </row>
    <row r="59" spans="1:14" s="39" customFormat="1" ht="12" thickBot="1" x14ac:dyDescent="0.25">
      <c r="A59" s="40" t="s">
        <v>7</v>
      </c>
      <c r="B59" s="35">
        <f>SUM(B$52:B$58)</f>
        <v>105.96000000000001</v>
      </c>
      <c r="C59" s="35">
        <f t="shared" ref="C59:M59" si="9">SUM(C$52:C$58)</f>
        <v>51.47</v>
      </c>
      <c r="D59" s="35">
        <f>SUM(D$52:D$58)</f>
        <v>25.97</v>
      </c>
      <c r="E59" s="35">
        <f t="shared" si="9"/>
        <v>41.96</v>
      </c>
      <c r="F59" s="35">
        <f t="shared" si="9"/>
        <v>25.97</v>
      </c>
      <c r="G59" s="35">
        <f t="shared" si="9"/>
        <v>25.97</v>
      </c>
      <c r="H59" s="35">
        <f t="shared" si="9"/>
        <v>51.57</v>
      </c>
      <c r="I59" s="35">
        <f t="shared" si="9"/>
        <v>25.97</v>
      </c>
      <c r="J59" s="35">
        <f t="shared" si="9"/>
        <v>25.97</v>
      </c>
      <c r="K59" s="35">
        <f t="shared" si="9"/>
        <v>106.87</v>
      </c>
      <c r="L59" s="35">
        <f t="shared" si="9"/>
        <v>26.97</v>
      </c>
      <c r="M59" s="37">
        <f t="shared" si="9"/>
        <v>76.17</v>
      </c>
      <c r="N59" s="38">
        <f>SUM(B59:M59)</f>
        <v>590.82000000000005</v>
      </c>
    </row>
    <row r="60" spans="1:14" x14ac:dyDescent="0.25">
      <c r="A60" s="86"/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8"/>
    </row>
    <row r="61" spans="1:14" ht="21.75" customHeight="1" thickBot="1" x14ac:dyDescent="0.3">
      <c r="A61" s="74" t="s">
        <v>32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6"/>
    </row>
    <row r="62" spans="1:14" s="2" customFormat="1" x14ac:dyDescent="0.25">
      <c r="A62" s="52" t="s">
        <v>60</v>
      </c>
      <c r="B62" s="89">
        <v>8.99</v>
      </c>
      <c r="C62" s="89">
        <v>0</v>
      </c>
      <c r="D62" s="89">
        <v>0</v>
      </c>
      <c r="E62" s="89">
        <v>7</v>
      </c>
      <c r="F62" s="89">
        <v>0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89">
        <v>0</v>
      </c>
      <c r="M62" s="56">
        <v>3.79</v>
      </c>
      <c r="N62" s="54">
        <f t="shared" ref="N62:N65" si="10">SUM(B62:M62)</f>
        <v>19.78</v>
      </c>
    </row>
    <row r="63" spans="1:14" s="2" customFormat="1" x14ac:dyDescent="0.25">
      <c r="A63" s="62" t="s">
        <v>61</v>
      </c>
      <c r="B63" s="90">
        <v>32</v>
      </c>
      <c r="C63" s="90">
        <v>165</v>
      </c>
      <c r="D63" s="90">
        <v>0</v>
      </c>
      <c r="E63" s="90">
        <v>5.95</v>
      </c>
      <c r="F63" s="90">
        <v>0</v>
      </c>
      <c r="G63" s="90">
        <v>103</v>
      </c>
      <c r="H63" s="90">
        <v>10</v>
      </c>
      <c r="I63" s="90">
        <v>0</v>
      </c>
      <c r="J63" s="90">
        <v>0</v>
      </c>
      <c r="K63" s="90">
        <v>12.49</v>
      </c>
      <c r="L63" s="90">
        <f>12.99+6.55</f>
        <v>19.54</v>
      </c>
      <c r="M63" s="79">
        <v>5</v>
      </c>
      <c r="N63" s="61">
        <f t="shared" si="10"/>
        <v>352.98</v>
      </c>
    </row>
    <row r="64" spans="1:14" s="2" customFormat="1" x14ac:dyDescent="0.25">
      <c r="A64" s="52" t="s">
        <v>86</v>
      </c>
      <c r="B64" s="89">
        <v>0</v>
      </c>
      <c r="C64" s="89">
        <v>0</v>
      </c>
      <c r="D64" s="89">
        <v>0</v>
      </c>
      <c r="E64" s="89">
        <v>0</v>
      </c>
      <c r="F64" s="89">
        <v>0</v>
      </c>
      <c r="G64" s="89">
        <v>0</v>
      </c>
      <c r="H64" s="89">
        <v>0</v>
      </c>
      <c r="I64" s="89">
        <v>10</v>
      </c>
      <c r="J64" s="89">
        <v>0</v>
      </c>
      <c r="K64" s="89">
        <v>0</v>
      </c>
      <c r="L64" s="89">
        <v>0</v>
      </c>
      <c r="M64" s="56">
        <f>9+7</f>
        <v>16</v>
      </c>
      <c r="N64" s="61">
        <f t="shared" si="10"/>
        <v>26</v>
      </c>
    </row>
    <row r="65" spans="1:14" s="2" customFormat="1" ht="13.8" thickBot="1" x14ac:dyDescent="0.3">
      <c r="A65" s="65" t="s">
        <v>84</v>
      </c>
      <c r="B65" s="96">
        <v>4</v>
      </c>
      <c r="C65" s="96">
        <f>105+23</f>
        <v>128</v>
      </c>
      <c r="D65" s="96">
        <f>110+17.99+169.99</f>
        <v>297.98</v>
      </c>
      <c r="E65" s="96">
        <v>0</v>
      </c>
      <c r="F65" s="96">
        <v>0</v>
      </c>
      <c r="G65" s="96">
        <v>0</v>
      </c>
      <c r="H65" s="96">
        <v>0</v>
      </c>
      <c r="I65" s="96">
        <v>30</v>
      </c>
      <c r="J65" s="96">
        <v>0</v>
      </c>
      <c r="K65" s="96">
        <f>13+29.99+19.99</f>
        <v>62.97999999999999</v>
      </c>
      <c r="L65" s="96">
        <v>8.99</v>
      </c>
      <c r="M65" s="97">
        <f>7.99+11.25</f>
        <v>19.240000000000002</v>
      </c>
      <c r="N65" s="68">
        <f t="shared" si="10"/>
        <v>551.19000000000005</v>
      </c>
    </row>
    <row r="66" spans="1:14" s="39" customFormat="1" ht="12" thickBot="1" x14ac:dyDescent="0.25">
      <c r="A66" s="40" t="s">
        <v>103</v>
      </c>
      <c r="B66" s="35">
        <f t="shared" ref="B66:M66" si="11">SUM(B62:B65)</f>
        <v>44.99</v>
      </c>
      <c r="C66" s="35">
        <f t="shared" si="11"/>
        <v>293</v>
      </c>
      <c r="D66" s="35">
        <f t="shared" si="11"/>
        <v>297.98</v>
      </c>
      <c r="E66" s="35">
        <f t="shared" si="11"/>
        <v>12.95</v>
      </c>
      <c r="F66" s="35">
        <f t="shared" si="11"/>
        <v>0</v>
      </c>
      <c r="G66" s="35">
        <f t="shared" si="11"/>
        <v>103</v>
      </c>
      <c r="H66" s="35">
        <f t="shared" si="11"/>
        <v>10</v>
      </c>
      <c r="I66" s="35">
        <f t="shared" si="11"/>
        <v>40</v>
      </c>
      <c r="J66" s="35">
        <f t="shared" si="11"/>
        <v>0</v>
      </c>
      <c r="K66" s="35">
        <f t="shared" si="11"/>
        <v>75.469999999999985</v>
      </c>
      <c r="L66" s="35">
        <f t="shared" si="11"/>
        <v>28.53</v>
      </c>
      <c r="M66" s="37">
        <f t="shared" si="11"/>
        <v>44.03</v>
      </c>
      <c r="N66" s="38">
        <f>SUM(B66:M66)</f>
        <v>949.95</v>
      </c>
    </row>
    <row r="67" spans="1:14" x14ac:dyDescent="0.25">
      <c r="A67" s="86"/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8"/>
    </row>
    <row r="68" spans="1:14" ht="21.75" customHeight="1" thickBot="1" x14ac:dyDescent="0.3">
      <c r="A68" s="74" t="s">
        <v>3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6"/>
    </row>
    <row r="69" spans="1:14" s="2" customFormat="1" x14ac:dyDescent="0.25">
      <c r="A69" s="52" t="s">
        <v>35</v>
      </c>
      <c r="B69" s="55">
        <v>0</v>
      </c>
      <c r="C69" s="55">
        <v>0</v>
      </c>
      <c r="D69" s="55">
        <v>0</v>
      </c>
      <c r="E69" s="55">
        <v>0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89">
        <v>0</v>
      </c>
      <c r="M69" s="56">
        <v>0</v>
      </c>
      <c r="N69" s="54">
        <f t="shared" ref="N69:N73" si="12">SUM(B69:M69)</f>
        <v>0</v>
      </c>
    </row>
    <row r="70" spans="1:14" s="2" customFormat="1" x14ac:dyDescent="0.25">
      <c r="A70" s="62" t="s">
        <v>12</v>
      </c>
      <c r="B70" s="78">
        <v>80</v>
      </c>
      <c r="C70" s="78">
        <v>0</v>
      </c>
      <c r="D70" s="78">
        <v>0</v>
      </c>
      <c r="E70" s="78">
        <v>0</v>
      </c>
      <c r="F70" s="78">
        <v>0</v>
      </c>
      <c r="G70" s="78">
        <v>0</v>
      </c>
      <c r="H70" s="78">
        <v>0</v>
      </c>
      <c r="I70" s="78">
        <v>0</v>
      </c>
      <c r="J70" s="78">
        <v>0</v>
      </c>
      <c r="K70" s="78">
        <v>0</v>
      </c>
      <c r="L70" s="90">
        <v>0</v>
      </c>
      <c r="M70" s="79">
        <v>0</v>
      </c>
      <c r="N70" s="61">
        <f t="shared" si="12"/>
        <v>80</v>
      </c>
    </row>
    <row r="71" spans="1:14" s="2" customFormat="1" x14ac:dyDescent="0.25">
      <c r="A71" s="52" t="s">
        <v>33</v>
      </c>
      <c r="B71" s="55">
        <v>0</v>
      </c>
      <c r="C71" s="55">
        <v>0</v>
      </c>
      <c r="D71" s="55">
        <v>0</v>
      </c>
      <c r="E71" s="55">
        <v>0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89">
        <f>44.01+28.26+3.15+6+12.95+33.9+8.51+14.7+5.85</f>
        <v>157.32999999999998</v>
      </c>
      <c r="M71" s="56">
        <v>0</v>
      </c>
      <c r="N71" s="61">
        <f t="shared" si="12"/>
        <v>157.32999999999998</v>
      </c>
    </row>
    <row r="72" spans="1:14" s="2" customFormat="1" x14ac:dyDescent="0.25">
      <c r="A72" s="62" t="s">
        <v>2</v>
      </c>
      <c r="B72" s="78">
        <v>0</v>
      </c>
      <c r="C72" s="78">
        <v>12.29</v>
      </c>
      <c r="D72" s="78">
        <v>0</v>
      </c>
      <c r="E72" s="78">
        <v>0</v>
      </c>
      <c r="F72" s="78">
        <v>0</v>
      </c>
      <c r="G72" s="78">
        <v>0</v>
      </c>
      <c r="H72" s="78">
        <v>0</v>
      </c>
      <c r="I72" s="78">
        <v>0</v>
      </c>
      <c r="J72" s="78">
        <v>0</v>
      </c>
      <c r="K72" s="78">
        <v>0</v>
      </c>
      <c r="L72" s="90">
        <v>10</v>
      </c>
      <c r="M72" s="79">
        <f>12+4</f>
        <v>16</v>
      </c>
      <c r="N72" s="61">
        <f t="shared" si="12"/>
        <v>38.29</v>
      </c>
    </row>
    <row r="73" spans="1:14" s="2" customFormat="1" x14ac:dyDescent="0.25">
      <c r="A73" s="52" t="s">
        <v>34</v>
      </c>
      <c r="B73" s="55">
        <v>0</v>
      </c>
      <c r="C73" s="55">
        <v>24.27</v>
      </c>
      <c r="D73" s="55">
        <v>0</v>
      </c>
      <c r="E73" s="55">
        <v>0</v>
      </c>
      <c r="F73" s="55">
        <v>0</v>
      </c>
      <c r="G73" s="55">
        <v>0</v>
      </c>
      <c r="H73" s="55">
        <v>0</v>
      </c>
      <c r="I73" s="55">
        <v>0</v>
      </c>
      <c r="J73" s="55">
        <v>23.59</v>
      </c>
      <c r="K73" s="55">
        <v>0</v>
      </c>
      <c r="L73" s="89">
        <v>12.5</v>
      </c>
      <c r="M73" s="56">
        <v>0</v>
      </c>
      <c r="N73" s="61">
        <f t="shared" si="12"/>
        <v>60.36</v>
      </c>
    </row>
    <row r="74" spans="1:14" s="2" customFormat="1" x14ac:dyDescent="0.25">
      <c r="A74" s="62" t="s">
        <v>65</v>
      </c>
      <c r="B74" s="78">
        <v>0</v>
      </c>
      <c r="C74" s="78">
        <v>0</v>
      </c>
      <c r="D74" s="78">
        <v>0</v>
      </c>
      <c r="E74" s="78">
        <v>0</v>
      </c>
      <c r="F74" s="78">
        <v>0</v>
      </c>
      <c r="G74" s="78">
        <v>0</v>
      </c>
      <c r="H74" s="78">
        <v>0</v>
      </c>
      <c r="I74" s="78">
        <v>17.59</v>
      </c>
      <c r="J74" s="78">
        <v>0</v>
      </c>
      <c r="K74" s="78">
        <f>52.99+10+4.39</f>
        <v>67.38</v>
      </c>
      <c r="L74" s="78">
        <f>31.9</f>
        <v>31.9</v>
      </c>
      <c r="M74" s="79">
        <v>0</v>
      </c>
      <c r="N74" s="61">
        <f>SUM(B74:M74)</f>
        <v>116.87</v>
      </c>
    </row>
    <row r="75" spans="1:14" s="2" customFormat="1" ht="13.8" thickBot="1" x14ac:dyDescent="0.3">
      <c r="A75" s="65" t="s">
        <v>96</v>
      </c>
      <c r="B75" s="83">
        <v>0</v>
      </c>
      <c r="C75" s="98">
        <v>1000</v>
      </c>
      <c r="D75" s="98">
        <v>500</v>
      </c>
      <c r="E75" s="83">
        <v>250</v>
      </c>
      <c r="F75" s="83">
        <v>250</v>
      </c>
      <c r="G75" s="83">
        <v>246</v>
      </c>
      <c r="H75" s="83">
        <v>200</v>
      </c>
      <c r="I75" s="83">
        <v>0</v>
      </c>
      <c r="J75" s="83">
        <v>0</v>
      </c>
      <c r="K75" s="83">
        <v>0</v>
      </c>
      <c r="L75" s="83">
        <v>0</v>
      </c>
      <c r="M75" s="84">
        <v>0</v>
      </c>
      <c r="N75" s="68" cm="1">
        <f t="array" ref="N75">SUM(B75+E75:M75)</f>
        <v>946</v>
      </c>
    </row>
    <row r="76" spans="1:14" s="39" customFormat="1" ht="12" thickBot="1" x14ac:dyDescent="0.25">
      <c r="A76" s="40" t="s">
        <v>15</v>
      </c>
      <c r="B76" s="35">
        <f>SUM(B69:B75)</f>
        <v>80</v>
      </c>
      <c r="C76" s="35">
        <f>SUM(C69:C74)</f>
        <v>36.56</v>
      </c>
      <c r="D76" s="35">
        <f>SUM(D69:D74)</f>
        <v>0</v>
      </c>
      <c r="E76" s="35">
        <f t="shared" ref="E76:M76" si="13">SUM(E69:E75)</f>
        <v>250</v>
      </c>
      <c r="F76" s="35">
        <f t="shared" si="13"/>
        <v>250</v>
      </c>
      <c r="G76" s="35">
        <f t="shared" si="13"/>
        <v>246</v>
      </c>
      <c r="H76" s="35">
        <f t="shared" si="13"/>
        <v>200</v>
      </c>
      <c r="I76" s="35">
        <f t="shared" si="13"/>
        <v>17.59</v>
      </c>
      <c r="J76" s="35">
        <f t="shared" si="13"/>
        <v>23.59</v>
      </c>
      <c r="K76" s="35">
        <f t="shared" si="13"/>
        <v>67.38</v>
      </c>
      <c r="L76" s="35">
        <f t="shared" si="13"/>
        <v>211.73</v>
      </c>
      <c r="M76" s="37">
        <f t="shared" si="13"/>
        <v>16</v>
      </c>
      <c r="N76" s="38">
        <f>SUM(B76:M76)</f>
        <v>1398.85</v>
      </c>
    </row>
    <row r="77" spans="1:14" x14ac:dyDescent="0.25">
      <c r="A77" s="86"/>
      <c r="B77" s="87"/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8"/>
    </row>
    <row r="78" spans="1:14" ht="21.75" customHeight="1" thickBot="1" x14ac:dyDescent="0.3">
      <c r="A78" s="74" t="s">
        <v>1</v>
      </c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6"/>
    </row>
    <row r="79" spans="1:14" s="2" customFormat="1" x14ac:dyDescent="0.25">
      <c r="A79" s="52" t="s">
        <v>0</v>
      </c>
      <c r="B79" s="55">
        <v>29</v>
      </c>
      <c r="C79" s="55">
        <f>13.6+6.1</f>
        <v>19.7</v>
      </c>
      <c r="D79" s="55">
        <v>0</v>
      </c>
      <c r="E79" s="55">
        <v>0</v>
      </c>
      <c r="F79" s="55">
        <v>35</v>
      </c>
      <c r="G79" s="55">
        <v>0</v>
      </c>
      <c r="H79" s="55">
        <f>15.5+11.99</f>
        <v>27.490000000000002</v>
      </c>
      <c r="I79" s="55">
        <v>0</v>
      </c>
      <c r="J79" s="55">
        <v>0</v>
      </c>
      <c r="K79" s="55">
        <f>17.25+8+15+17.25+29.99</f>
        <v>87.49</v>
      </c>
      <c r="L79" s="55">
        <v>0</v>
      </c>
      <c r="M79" s="56">
        <v>0</v>
      </c>
      <c r="N79" s="54">
        <f t="shared" ref="N79:N84" si="14">SUM(B79:M79)</f>
        <v>198.68</v>
      </c>
    </row>
    <row r="80" spans="1:14" s="2" customFormat="1" x14ac:dyDescent="0.25">
      <c r="A80" s="62" t="s">
        <v>26</v>
      </c>
      <c r="B80" s="78">
        <v>16</v>
      </c>
      <c r="C80" s="78">
        <v>16</v>
      </c>
      <c r="D80" s="78">
        <v>16</v>
      </c>
      <c r="E80" s="78">
        <v>16</v>
      </c>
      <c r="F80" s="78">
        <v>16</v>
      </c>
      <c r="G80" s="78">
        <v>8</v>
      </c>
      <c r="H80" s="78">
        <v>8</v>
      </c>
      <c r="I80" s="78">
        <v>8</v>
      </c>
      <c r="J80" s="78">
        <v>8</v>
      </c>
      <c r="K80" s="78">
        <v>8</v>
      </c>
      <c r="L80" s="78">
        <v>8</v>
      </c>
      <c r="M80" s="79">
        <v>8</v>
      </c>
      <c r="N80" s="61">
        <f t="shared" si="14"/>
        <v>136</v>
      </c>
    </row>
    <row r="81" spans="1:14" s="2" customFormat="1" x14ac:dyDescent="0.25">
      <c r="A81" s="52" t="s">
        <v>54</v>
      </c>
      <c r="B81" s="55">
        <v>23</v>
      </c>
      <c r="C81" s="55">
        <v>23</v>
      </c>
      <c r="D81" s="55">
        <v>23</v>
      </c>
      <c r="E81" s="55">
        <v>23</v>
      </c>
      <c r="F81" s="55">
        <v>23</v>
      </c>
      <c r="G81" s="55">
        <v>23</v>
      </c>
      <c r="H81" s="55">
        <v>17.3</v>
      </c>
      <c r="I81" s="55">
        <v>23</v>
      </c>
      <c r="J81" s="55">
        <v>23</v>
      </c>
      <c r="K81" s="55">
        <v>23</v>
      </c>
      <c r="L81" s="55">
        <v>23</v>
      </c>
      <c r="M81" s="55">
        <v>23</v>
      </c>
      <c r="N81" s="61">
        <f t="shared" si="14"/>
        <v>270.3</v>
      </c>
    </row>
    <row r="82" spans="1:14" s="2" customFormat="1" x14ac:dyDescent="0.25">
      <c r="A82" s="62" t="s">
        <v>36</v>
      </c>
      <c r="B82" s="78">
        <v>28</v>
      </c>
      <c r="C82" s="78">
        <v>20</v>
      </c>
      <c r="D82" s="78">
        <v>18</v>
      </c>
      <c r="E82" s="78">
        <v>18</v>
      </c>
      <c r="F82" s="78">
        <v>18</v>
      </c>
      <c r="G82" s="78">
        <v>18</v>
      </c>
      <c r="H82" s="78">
        <v>18</v>
      </c>
      <c r="I82" s="78">
        <v>0</v>
      </c>
      <c r="J82" s="78">
        <v>18</v>
      </c>
      <c r="K82" s="78">
        <v>18.2</v>
      </c>
      <c r="L82" s="78">
        <v>18</v>
      </c>
      <c r="M82" s="79">
        <v>18</v>
      </c>
      <c r="N82" s="61">
        <f t="shared" si="14"/>
        <v>210.2</v>
      </c>
    </row>
    <row r="83" spans="1:14" s="2" customFormat="1" x14ac:dyDescent="0.25">
      <c r="A83" s="52" t="s">
        <v>87</v>
      </c>
      <c r="B83" s="55">
        <f>10.99+5.56+4</f>
        <v>20.55</v>
      </c>
      <c r="C83" s="55">
        <f>5+12+4.99</f>
        <v>21.990000000000002</v>
      </c>
      <c r="D83" s="55">
        <f>114+14.99+4.99+9.99+9.99</f>
        <v>153.96000000000004</v>
      </c>
      <c r="E83" s="55">
        <v>3.95</v>
      </c>
      <c r="F83" s="55">
        <f>24.9+2.4+3.99</f>
        <v>31.29</v>
      </c>
      <c r="G83" s="55">
        <f>27.7+10</f>
        <v>37.700000000000003</v>
      </c>
      <c r="H83" s="55">
        <f>31.65+4.99</f>
        <v>36.64</v>
      </c>
      <c r="I83" s="55">
        <f>10+3</f>
        <v>13</v>
      </c>
      <c r="J83" s="55">
        <f>6.99+6.99+3.99+4.58+3.99+8.99</f>
        <v>35.53</v>
      </c>
      <c r="K83" s="55">
        <f>39.99+5.16+5.99+1.94</f>
        <v>53.080000000000005</v>
      </c>
      <c r="L83" s="55">
        <f>3+10+66.87</f>
        <v>79.87</v>
      </c>
      <c r="M83" s="56">
        <v>65</v>
      </c>
      <c r="N83" s="61">
        <f t="shared" si="14"/>
        <v>552.55999999999995</v>
      </c>
    </row>
    <row r="84" spans="1:14" s="2" customFormat="1" x14ac:dyDescent="0.25">
      <c r="A84" s="62" t="s">
        <v>62</v>
      </c>
      <c r="B84" s="55">
        <v>100</v>
      </c>
      <c r="C84" s="55">
        <v>0</v>
      </c>
      <c r="D84" s="55">
        <f>30+5.85</f>
        <v>35.85</v>
      </c>
      <c r="E84" s="55">
        <v>0</v>
      </c>
      <c r="F84" s="55">
        <v>0</v>
      </c>
      <c r="G84" s="55">
        <v>35</v>
      </c>
      <c r="H84" s="55">
        <f>39.84+58+72.9+29.95+60+20</f>
        <v>280.69</v>
      </c>
      <c r="I84" s="55">
        <v>32.25</v>
      </c>
      <c r="J84" s="55">
        <v>3.99</v>
      </c>
      <c r="K84" s="55">
        <f>3.98+8.88+46+35</f>
        <v>93.86</v>
      </c>
      <c r="L84" s="55">
        <v>0</v>
      </c>
      <c r="M84" s="56">
        <v>0</v>
      </c>
      <c r="N84" s="61">
        <f t="shared" si="14"/>
        <v>581.64</v>
      </c>
    </row>
    <row r="85" spans="1:14" s="2" customFormat="1" x14ac:dyDescent="0.25">
      <c r="A85" s="62" t="s">
        <v>92</v>
      </c>
      <c r="B85" s="55">
        <v>3.7</v>
      </c>
      <c r="C85" s="55">
        <v>0</v>
      </c>
      <c r="D85" s="55">
        <v>0</v>
      </c>
      <c r="E85" s="55">
        <v>0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6">
        <v>0</v>
      </c>
      <c r="N85" s="61">
        <f>SUM(B85:M85)</f>
        <v>3.7</v>
      </c>
    </row>
    <row r="86" spans="1:14" s="2" customFormat="1" ht="13.8" thickBot="1" x14ac:dyDescent="0.3">
      <c r="A86" s="99" t="s">
        <v>95</v>
      </c>
      <c r="B86" s="91">
        <f>5.5+2.85+3.5</f>
        <v>11.85</v>
      </c>
      <c r="C86" s="91">
        <f>4.35+11.55</f>
        <v>15.9</v>
      </c>
      <c r="D86" s="91">
        <f>1.05+3.38+1.5+9.65+2.28</f>
        <v>17.86</v>
      </c>
      <c r="E86" s="91">
        <v>0</v>
      </c>
      <c r="F86" s="91">
        <v>10.199999999999999</v>
      </c>
      <c r="G86" s="91">
        <f>7.85+9.98+16</f>
        <v>33.83</v>
      </c>
      <c r="H86" s="91">
        <f>16+10.5+1.35</f>
        <v>27.85</v>
      </c>
      <c r="I86" s="91">
        <v>16</v>
      </c>
      <c r="J86" s="91">
        <f>4.33+8.24+5</f>
        <v>17.57</v>
      </c>
      <c r="K86" s="91">
        <f>5.3+15.5</f>
        <v>20.8</v>
      </c>
      <c r="L86" s="91">
        <f>9.86+3.45+3.45+2.99</f>
        <v>19.75</v>
      </c>
      <c r="M86" s="92">
        <f>9.18+16</f>
        <v>25.18</v>
      </c>
      <c r="N86" s="68">
        <f t="shared" ref="N86" si="15">SUM(B86:M86)</f>
        <v>216.79000000000002</v>
      </c>
    </row>
    <row r="87" spans="1:14" s="39" customFormat="1" ht="12" thickBot="1" x14ac:dyDescent="0.25">
      <c r="A87" s="40" t="s">
        <v>8</v>
      </c>
      <c r="B87" s="35">
        <f t="shared" ref="B87:M87" si="16">SUM(B79:B86)</f>
        <v>232.1</v>
      </c>
      <c r="C87" s="35">
        <f t="shared" si="16"/>
        <v>116.59</v>
      </c>
      <c r="D87" s="35">
        <f t="shared" si="16"/>
        <v>264.67</v>
      </c>
      <c r="E87" s="35">
        <f t="shared" si="16"/>
        <v>60.95</v>
      </c>
      <c r="F87" s="35">
        <f t="shared" si="16"/>
        <v>133.48999999999998</v>
      </c>
      <c r="G87" s="35">
        <f t="shared" si="16"/>
        <v>155.53</v>
      </c>
      <c r="H87" s="35">
        <f t="shared" si="16"/>
        <v>415.97</v>
      </c>
      <c r="I87" s="35">
        <f t="shared" si="16"/>
        <v>92.25</v>
      </c>
      <c r="J87" s="35">
        <f t="shared" si="16"/>
        <v>106.09</v>
      </c>
      <c r="K87" s="35">
        <f t="shared" si="16"/>
        <v>304.43</v>
      </c>
      <c r="L87" s="35">
        <f t="shared" si="16"/>
        <v>148.62</v>
      </c>
      <c r="M87" s="37">
        <f t="shared" si="16"/>
        <v>139.18</v>
      </c>
      <c r="N87" s="38">
        <f>SUM(B87:M87)</f>
        <v>2169.87</v>
      </c>
    </row>
    <row r="88" spans="1:14" x14ac:dyDescent="0.25">
      <c r="A88" s="86"/>
      <c r="B88" s="87"/>
      <c r="C88" s="87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8"/>
    </row>
    <row r="89" spans="1:14" ht="21.75" customHeight="1" thickBot="1" x14ac:dyDescent="0.3">
      <c r="A89" s="74" t="s">
        <v>16</v>
      </c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6"/>
    </row>
    <row r="90" spans="1:14" s="2" customFormat="1" x14ac:dyDescent="0.25">
      <c r="A90" s="52" t="s">
        <v>19</v>
      </c>
      <c r="B90" s="55">
        <v>0</v>
      </c>
      <c r="C90" s="55">
        <v>500</v>
      </c>
      <c r="D90" s="55">
        <v>0</v>
      </c>
      <c r="E90" s="55">
        <v>250</v>
      </c>
      <c r="F90" s="55">
        <v>250</v>
      </c>
      <c r="G90" s="55">
        <v>500</v>
      </c>
      <c r="H90" s="55">
        <v>0</v>
      </c>
      <c r="I90" s="55">
        <v>0</v>
      </c>
      <c r="J90" s="55">
        <v>250</v>
      </c>
      <c r="K90" s="55">
        <v>250</v>
      </c>
      <c r="L90" s="55">
        <v>250</v>
      </c>
      <c r="M90" s="56">
        <v>250</v>
      </c>
      <c r="N90" s="54">
        <f>SUM(B90:M90)</f>
        <v>2500</v>
      </c>
    </row>
    <row r="91" spans="1:14" s="2" customFormat="1" x14ac:dyDescent="0.25">
      <c r="A91" s="62" t="s">
        <v>55</v>
      </c>
      <c r="B91" s="78">
        <v>200</v>
      </c>
      <c r="C91" s="78">
        <v>200</v>
      </c>
      <c r="D91" s="78">
        <v>200</v>
      </c>
      <c r="E91" s="78">
        <v>200</v>
      </c>
      <c r="F91" s="78">
        <v>100</v>
      </c>
      <c r="G91" s="78">
        <v>200</v>
      </c>
      <c r="H91" s="78">
        <v>200</v>
      </c>
      <c r="I91" s="78">
        <v>200</v>
      </c>
      <c r="J91" s="78">
        <v>0</v>
      </c>
      <c r="K91" s="78">
        <v>0</v>
      </c>
      <c r="L91" s="78">
        <v>0</v>
      </c>
      <c r="M91" s="79">
        <v>200</v>
      </c>
      <c r="N91" s="61">
        <f>SUM(B91:M91)</f>
        <v>1700</v>
      </c>
    </row>
    <row r="92" spans="1:14" s="2" customFormat="1" x14ac:dyDescent="0.25">
      <c r="A92" s="62" t="s">
        <v>56</v>
      </c>
      <c r="B92" s="78">
        <v>25</v>
      </c>
      <c r="C92" s="78">
        <v>884.83</v>
      </c>
      <c r="D92" s="78">
        <v>0</v>
      </c>
      <c r="E92" s="78">
        <v>0</v>
      </c>
      <c r="F92" s="78">
        <v>0</v>
      </c>
      <c r="G92" s="78">
        <v>0</v>
      </c>
      <c r="H92" s="78">
        <v>0</v>
      </c>
      <c r="I92" s="78">
        <v>0</v>
      </c>
      <c r="J92" s="78">
        <v>0</v>
      </c>
      <c r="K92" s="78">
        <v>0</v>
      </c>
      <c r="L92" s="78">
        <v>0</v>
      </c>
      <c r="M92" s="79">
        <v>0</v>
      </c>
      <c r="N92" s="61">
        <f>SUM(B92:M92)</f>
        <v>909.83</v>
      </c>
    </row>
    <row r="93" spans="1:14" s="2" customFormat="1" x14ac:dyDescent="0.25">
      <c r="A93" s="52" t="s">
        <v>71</v>
      </c>
      <c r="B93" s="82">
        <v>250</v>
      </c>
      <c r="C93" s="82">
        <v>250</v>
      </c>
      <c r="D93" s="55">
        <v>250</v>
      </c>
      <c r="E93" s="55">
        <v>0</v>
      </c>
      <c r="F93" s="55">
        <v>150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6">
        <v>0</v>
      </c>
      <c r="N93" s="61">
        <f>SUM(D93:M93)</f>
        <v>400</v>
      </c>
    </row>
    <row r="94" spans="1:14" s="2" customFormat="1" ht="13.8" thickBot="1" x14ac:dyDescent="0.3">
      <c r="A94" s="99" t="s">
        <v>97</v>
      </c>
      <c r="B94" s="91">
        <v>0</v>
      </c>
      <c r="C94" s="91">
        <v>0</v>
      </c>
      <c r="D94" s="91">
        <v>0</v>
      </c>
      <c r="E94" s="91">
        <v>0</v>
      </c>
      <c r="F94" s="91">
        <v>200</v>
      </c>
      <c r="G94" s="91">
        <v>200</v>
      </c>
      <c r="H94" s="91">
        <v>0</v>
      </c>
      <c r="I94" s="91">
        <v>0</v>
      </c>
      <c r="J94" s="91">
        <v>0</v>
      </c>
      <c r="K94" s="91">
        <v>0</v>
      </c>
      <c r="L94" s="91">
        <v>50</v>
      </c>
      <c r="M94" s="91">
        <v>0</v>
      </c>
      <c r="N94" s="85">
        <f>SUM(B94:M94)</f>
        <v>450</v>
      </c>
    </row>
    <row r="95" spans="1:14" s="39" customFormat="1" ht="12" thickBot="1" x14ac:dyDescent="0.25">
      <c r="A95" s="40" t="s">
        <v>17</v>
      </c>
      <c r="B95" s="43">
        <f>SUM(B$90:B$92)</f>
        <v>225</v>
      </c>
      <c r="C95" s="43">
        <f t="shared" ref="C95:E95" si="17">SUM(C$90:C$92)</f>
        <v>1584.83</v>
      </c>
      <c r="D95" s="43">
        <f>SUM(D$90:D$94)</f>
        <v>450</v>
      </c>
      <c r="E95" s="43">
        <f t="shared" si="17"/>
        <v>450</v>
      </c>
      <c r="F95" s="43">
        <f>SUM(F$90:F$94)</f>
        <v>700</v>
      </c>
      <c r="G95" s="43">
        <f t="shared" ref="G95:M95" si="18">SUM(G$90:G$94)</f>
        <v>900</v>
      </c>
      <c r="H95" s="43">
        <f t="shared" si="18"/>
        <v>200</v>
      </c>
      <c r="I95" s="43">
        <f t="shared" si="18"/>
        <v>200</v>
      </c>
      <c r="J95" s="43">
        <f t="shared" si="18"/>
        <v>250</v>
      </c>
      <c r="K95" s="43">
        <f t="shared" si="18"/>
        <v>250</v>
      </c>
      <c r="L95" s="43">
        <f t="shared" si="18"/>
        <v>300</v>
      </c>
      <c r="M95" s="43">
        <f t="shared" si="18"/>
        <v>450</v>
      </c>
      <c r="N95" s="38">
        <f>SUM(B95:M95)</f>
        <v>5959.83</v>
      </c>
    </row>
    <row r="96" spans="1:14" x14ac:dyDescent="0.25">
      <c r="A96" s="86"/>
      <c r="B96" s="87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8"/>
    </row>
    <row r="97" spans="1:14" ht="13.8" thickBot="1" x14ac:dyDescent="0.3">
      <c r="A97" s="1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1"/>
    </row>
    <row r="98" spans="1:14" ht="29.25" customHeight="1" thickBot="1" x14ac:dyDescent="0.3">
      <c r="A98" s="102" t="s">
        <v>18</v>
      </c>
      <c r="B98" s="103">
        <f t="shared" ref="B98:M98" si="19">SUM(B29+B37+B49+B59+B66+B76+B87+B95)</f>
        <v>1822.55</v>
      </c>
      <c r="C98" s="103">
        <f t="shared" si="19"/>
        <v>3372.5099999999998</v>
      </c>
      <c r="D98" s="103">
        <f t="shared" si="19"/>
        <v>2160.38</v>
      </c>
      <c r="E98" s="103">
        <f t="shared" si="19"/>
        <v>1820.2800000000002</v>
      </c>
      <c r="F98" s="103">
        <f t="shared" si="19"/>
        <v>2028.8</v>
      </c>
      <c r="G98" s="103">
        <f t="shared" si="19"/>
        <v>2451.81</v>
      </c>
      <c r="H98" s="103">
        <f t="shared" si="19"/>
        <v>2116.6400000000003</v>
      </c>
      <c r="I98" s="103">
        <f t="shared" si="19"/>
        <v>2042.0500000000002</v>
      </c>
      <c r="J98" s="103">
        <f t="shared" si="19"/>
        <v>2398.5700000000002</v>
      </c>
      <c r="K98" s="103">
        <f t="shared" si="19"/>
        <v>2141.7300000000005</v>
      </c>
      <c r="L98" s="103">
        <f t="shared" si="19"/>
        <v>2035.0500000000002</v>
      </c>
      <c r="M98" s="104">
        <f t="shared" si="19"/>
        <v>2663.54</v>
      </c>
      <c r="N98" s="38">
        <f>SUM(N95+N87+N76+N66+N59+N49+N37+N29)</f>
        <v>27053.91</v>
      </c>
    </row>
    <row r="99" spans="1:14" ht="30" customHeight="1" thickBot="1" x14ac:dyDescent="0.3">
      <c r="A99" s="102" t="s">
        <v>5</v>
      </c>
      <c r="B99" s="103">
        <f t="shared" ref="B99:N99" si="20">SUM(B13-B98)</f>
        <v>22.049999999999955</v>
      </c>
      <c r="C99" s="103">
        <f t="shared" si="20"/>
        <v>-17.649999999999636</v>
      </c>
      <c r="D99" s="103">
        <f t="shared" si="20"/>
        <v>57.230000000000018</v>
      </c>
      <c r="E99" s="103">
        <f t="shared" si="20"/>
        <v>397.12999999999965</v>
      </c>
      <c r="F99" s="103">
        <f t="shared" si="20"/>
        <v>188.81000000000017</v>
      </c>
      <c r="G99" s="103">
        <f t="shared" si="20"/>
        <v>-234.40000000000009</v>
      </c>
      <c r="H99" s="103">
        <f t="shared" si="20"/>
        <v>124.83999999999969</v>
      </c>
      <c r="I99" s="103">
        <f t="shared" si="20"/>
        <v>199.63999999999987</v>
      </c>
      <c r="J99" s="103">
        <f t="shared" si="20"/>
        <v>-174.92000000000007</v>
      </c>
      <c r="K99" s="103">
        <f t="shared" si="20"/>
        <v>81.719999999999345</v>
      </c>
      <c r="L99" s="103">
        <f t="shared" si="20"/>
        <v>188.59999999999991</v>
      </c>
      <c r="M99" s="103">
        <f t="shared" si="20"/>
        <v>-425.88999999999987</v>
      </c>
      <c r="N99" s="38">
        <f t="shared" si="20"/>
        <v>407.16000000000349</v>
      </c>
    </row>
  </sheetData>
  <mergeCells count="13">
    <mergeCell ref="A61:N61"/>
    <mergeCell ref="A15:N15"/>
    <mergeCell ref="A78:N78"/>
    <mergeCell ref="A68:N68"/>
    <mergeCell ref="A89:N89"/>
    <mergeCell ref="A16:N16"/>
    <mergeCell ref="A31:N31"/>
    <mergeCell ref="A39:N39"/>
    <mergeCell ref="P3:Q9"/>
    <mergeCell ref="A7:N7"/>
    <mergeCell ref="A1:N1"/>
    <mergeCell ref="A4:N4"/>
    <mergeCell ref="A51:N51"/>
  </mergeCells>
  <phoneticPr fontId="0" type="noConversion"/>
  <printOptions horizontalCentered="1" verticalCentered="1"/>
  <pageMargins left="0.5" right="0.5" top="0.5" bottom="0.5" header="0.5" footer="0.5"/>
  <pageSetup scale="62" fitToHeight="2" orientation="landscape" horizontalDpi="200" verticalDpi="200" r:id="rId1"/>
  <headerFooter alignWithMargins="0"/>
  <rowBreaks count="1" manualBreakCount="1">
    <brk id="67" max="13" man="1"/>
  </rowBreaks>
  <ignoredErrors>
    <ignoredError sqref="C17:G17 C19:E19 N57:N58 C95 B95 B46:B47 B34:C34 B32:C32 B53 B44 B83:D83 C47 C24:D24 B35:B36 C35:C36 B86:D86 C79 F95 C18:E18 H18:I18 I17:N17 G19:I19 I45 D44:D45 F46 G36 F34:G34 D32:I32 H33 I34:K34 D35:F35 I24 D84 F83:L83 G86:H86 H84 H79 K95:M95 K19 K18 M18:N18 L44 J47 J35:K35 J32:K32 K74:L74 J86:M86 K84 K79 G95:J95 M32:M35 M64 M72 M27" unlockedFormula="1"/>
    <ignoredError sqref="N24 F29 N75" formula="1"/>
    <ignoredError sqref="D76" formulaRange="1"/>
    <ignoredError sqref="C76 N93" formula="1" formulaRange="1"/>
    <ignoredError sqref="D95:E95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2C6D-AAB3-4D67-B2FC-01429692164A}">
  <dimension ref="A1:H40"/>
  <sheetViews>
    <sheetView workbookViewId="0">
      <selection activeCell="H25" sqref="H25"/>
    </sheetView>
  </sheetViews>
  <sheetFormatPr defaultColWidth="9.109375" defaultRowHeight="13.8" x14ac:dyDescent="0.3"/>
  <cols>
    <col min="1" max="1" width="10.109375" style="8" customWidth="1"/>
    <col min="2" max="2" width="25.109375" style="8" customWidth="1"/>
    <col min="3" max="3" width="12" style="8" customWidth="1"/>
    <col min="4" max="4" width="13.44140625" style="8" hidden="1" customWidth="1"/>
    <col min="5" max="5" width="3.44140625" style="8" customWidth="1"/>
    <col min="6" max="6" width="13.33203125" style="8" customWidth="1"/>
    <col min="7" max="7" width="16.44140625" style="8" customWidth="1"/>
    <col min="8" max="16384" width="9.109375" style="8"/>
  </cols>
  <sheetData>
    <row r="1" spans="1:8" customFormat="1" ht="21.75" customHeight="1" x14ac:dyDescent="0.3">
      <c r="A1" s="28" t="s">
        <v>19</v>
      </c>
      <c r="B1" s="29"/>
      <c r="C1" s="29"/>
      <c r="D1" s="29"/>
      <c r="E1" s="29"/>
      <c r="F1" s="29"/>
      <c r="G1" s="29"/>
      <c r="H1" s="30"/>
    </row>
    <row r="2" spans="1:8" x14ac:dyDescent="0.3">
      <c r="F2" s="18"/>
    </row>
    <row r="3" spans="1:8" x14ac:dyDescent="0.3">
      <c r="A3" s="16" t="s">
        <v>70</v>
      </c>
      <c r="B3" s="17" t="s">
        <v>69</v>
      </c>
      <c r="C3" s="21" t="s">
        <v>67</v>
      </c>
      <c r="D3" s="16" t="s">
        <v>68</v>
      </c>
      <c r="F3" s="16" t="s">
        <v>67</v>
      </c>
    </row>
    <row r="4" spans="1:8" ht="14.4" x14ac:dyDescent="0.3">
      <c r="A4" s="20">
        <v>44713</v>
      </c>
      <c r="B4" s="15" t="s">
        <v>90</v>
      </c>
      <c r="C4" s="14">
        <v>14750</v>
      </c>
      <c r="D4" s="12">
        <f t="shared" ref="D4:D40" si="0">SUM(C4:C4)</f>
        <v>14750</v>
      </c>
      <c r="E4" s="9"/>
      <c r="F4" s="11">
        <f>IF(NOT(ISBLANK(A4)),SUM(D$3:D4),"-")</f>
        <v>14750</v>
      </c>
    </row>
    <row r="5" spans="1:8" ht="14.4" x14ac:dyDescent="0.3">
      <c r="A5" s="20">
        <v>44713</v>
      </c>
      <c r="B5" s="13" t="s">
        <v>101</v>
      </c>
      <c r="C5" s="10">
        <v>-1570</v>
      </c>
      <c r="D5" s="12">
        <f t="shared" si="0"/>
        <v>-1570</v>
      </c>
      <c r="E5" s="9"/>
      <c r="F5" s="11">
        <f>IF(NOT(ISBLANK(A5)),SUM(D$3:D5),"-")</f>
        <v>13180</v>
      </c>
    </row>
    <row r="6" spans="1:8" ht="14.4" x14ac:dyDescent="0.3">
      <c r="A6" s="20">
        <v>44713</v>
      </c>
      <c r="B6" s="13" t="s">
        <v>71</v>
      </c>
      <c r="C6" s="10">
        <v>-250</v>
      </c>
      <c r="D6" s="12">
        <f t="shared" si="0"/>
        <v>-250</v>
      </c>
      <c r="E6" s="9"/>
      <c r="F6" s="11">
        <f>IF(NOT(ISBLANK(A6)),SUM(D$3:D6),"-")</f>
        <v>12930</v>
      </c>
    </row>
    <row r="7" spans="1:8" ht="14.4" x14ac:dyDescent="0.3">
      <c r="A7" s="20">
        <v>44743</v>
      </c>
      <c r="B7" s="13" t="s">
        <v>94</v>
      </c>
      <c r="C7" s="10">
        <v>500</v>
      </c>
      <c r="D7" s="12">
        <f t="shared" si="0"/>
        <v>500</v>
      </c>
      <c r="E7" s="9"/>
      <c r="F7" s="11">
        <f>IF(NOT(ISBLANK(A7)),SUM(D$3:D7),"-")</f>
        <v>13430</v>
      </c>
    </row>
    <row r="8" spans="1:8" ht="14.4" x14ac:dyDescent="0.3">
      <c r="A8" s="19">
        <v>44743</v>
      </c>
      <c r="B8" s="13" t="s">
        <v>71</v>
      </c>
      <c r="C8" s="10">
        <v>-250</v>
      </c>
      <c r="D8" s="12">
        <f t="shared" si="0"/>
        <v>-250</v>
      </c>
      <c r="E8" s="9"/>
      <c r="F8" s="11">
        <f>IF(NOT(ISBLANK(A8)),SUM(D$3:D8),"-")</f>
        <v>13180</v>
      </c>
    </row>
    <row r="9" spans="1:8" ht="14.4" x14ac:dyDescent="0.3">
      <c r="A9" s="20">
        <v>44760</v>
      </c>
      <c r="B9" s="13" t="s">
        <v>96</v>
      </c>
      <c r="C9" s="10">
        <v>-1000</v>
      </c>
      <c r="D9" s="12">
        <f t="shared" si="0"/>
        <v>-1000</v>
      </c>
      <c r="E9" s="9"/>
      <c r="F9" s="11">
        <f>IF(NOT(ISBLANK(A9)),SUM(D$3:D9),"-")</f>
        <v>12180</v>
      </c>
    </row>
    <row r="10" spans="1:8" ht="14.4" x14ac:dyDescent="0.3">
      <c r="A10" s="19">
        <v>44771</v>
      </c>
      <c r="B10" s="13" t="s">
        <v>96</v>
      </c>
      <c r="C10" s="10">
        <v>-500</v>
      </c>
      <c r="D10" s="12">
        <f t="shared" si="0"/>
        <v>-500</v>
      </c>
      <c r="E10" s="9"/>
      <c r="F10" s="11">
        <f>IF(NOT(ISBLANK(A10)),SUM(D$3:D10),"-")</f>
        <v>11680</v>
      </c>
    </row>
    <row r="11" spans="1:8" ht="14.4" x14ac:dyDescent="0.3">
      <c r="A11" s="19">
        <v>44805</v>
      </c>
      <c r="B11" s="13" t="s">
        <v>94</v>
      </c>
      <c r="C11" s="10">
        <v>250</v>
      </c>
      <c r="D11" s="12">
        <f t="shared" si="0"/>
        <v>250</v>
      </c>
      <c r="E11" s="9"/>
      <c r="F11" s="11">
        <f>IF(NOT(ISBLANK(A11)),SUM(D$3:D11),"-")</f>
        <v>11930</v>
      </c>
    </row>
    <row r="12" spans="1:8" ht="14.4" x14ac:dyDescent="0.3">
      <c r="A12" s="20">
        <v>44824</v>
      </c>
      <c r="B12" s="13" t="s">
        <v>100</v>
      </c>
      <c r="C12" s="10">
        <v>300</v>
      </c>
      <c r="D12" s="12">
        <f t="shared" si="0"/>
        <v>300</v>
      </c>
      <c r="E12" s="9"/>
      <c r="F12" s="11">
        <f>IF(NOT(ISBLANK(A12)),SUM(D$3:D12),"-")</f>
        <v>12230</v>
      </c>
    </row>
    <row r="13" spans="1:8" ht="14.4" x14ac:dyDescent="0.3">
      <c r="A13" s="19">
        <v>44835</v>
      </c>
      <c r="B13" s="13" t="s">
        <v>94</v>
      </c>
      <c r="C13" s="10">
        <v>250</v>
      </c>
      <c r="D13" s="12">
        <f t="shared" si="0"/>
        <v>250</v>
      </c>
      <c r="E13" s="9"/>
      <c r="F13" s="11">
        <f>IF(NOT(ISBLANK(A13)),SUM(D$3:D13),"-")</f>
        <v>12480</v>
      </c>
    </row>
    <row r="14" spans="1:8" ht="14.4" x14ac:dyDescent="0.3">
      <c r="A14" s="20">
        <v>44849</v>
      </c>
      <c r="B14" s="13" t="s">
        <v>99</v>
      </c>
      <c r="C14" s="10">
        <v>-5955</v>
      </c>
      <c r="D14" s="12">
        <f t="shared" si="0"/>
        <v>-5955</v>
      </c>
      <c r="E14" s="9"/>
      <c r="F14" s="11">
        <f>IF(NOT(ISBLANK(A14)),SUM(D$3:D14),"-")</f>
        <v>6525</v>
      </c>
    </row>
    <row r="15" spans="1:8" ht="14.4" x14ac:dyDescent="0.3">
      <c r="A15" s="19">
        <v>44866</v>
      </c>
      <c r="B15" s="13" t="s">
        <v>94</v>
      </c>
      <c r="C15" s="10">
        <v>500</v>
      </c>
      <c r="D15" s="12">
        <f t="shared" si="0"/>
        <v>500</v>
      </c>
      <c r="E15" s="9"/>
      <c r="F15" s="11">
        <f>IF(NOT(ISBLANK(A15)),SUM(D$3:D15),"-")</f>
        <v>7025</v>
      </c>
    </row>
    <row r="16" spans="1:8" ht="14.4" x14ac:dyDescent="0.3">
      <c r="A16" s="20">
        <v>44958</v>
      </c>
      <c r="B16" s="13" t="s">
        <v>94</v>
      </c>
      <c r="C16" s="10">
        <v>250</v>
      </c>
      <c r="D16" s="12">
        <f t="shared" si="0"/>
        <v>250</v>
      </c>
      <c r="E16" s="9"/>
      <c r="F16" s="11">
        <f>IF(NOT(ISBLANK(A16)),SUM(D$3:D16),"-")</f>
        <v>7275</v>
      </c>
    </row>
    <row r="17" spans="1:6" ht="14.4" x14ac:dyDescent="0.3">
      <c r="A17" s="19">
        <v>44986</v>
      </c>
      <c r="B17" s="13" t="s">
        <v>94</v>
      </c>
      <c r="C17" s="10">
        <v>250</v>
      </c>
      <c r="D17" s="12">
        <f t="shared" si="0"/>
        <v>250</v>
      </c>
      <c r="E17" s="9"/>
      <c r="F17" s="11">
        <f>IF(NOT(ISBLANK(A17)),SUM(D$3:D17),"-")</f>
        <v>7525</v>
      </c>
    </row>
    <row r="18" spans="1:6" ht="14.4" x14ac:dyDescent="0.3">
      <c r="A18" s="20">
        <v>45017</v>
      </c>
      <c r="B18" s="13" t="s">
        <v>94</v>
      </c>
      <c r="C18" s="10">
        <v>250</v>
      </c>
      <c r="D18" s="12">
        <f t="shared" si="0"/>
        <v>250</v>
      </c>
      <c r="E18" s="9"/>
      <c r="F18" s="11">
        <f>IF(NOT(ISBLANK(A18)),SUM(D$3:D18),"-")</f>
        <v>7775</v>
      </c>
    </row>
    <row r="19" spans="1:6" ht="14.4" x14ac:dyDescent="0.3">
      <c r="A19" s="19">
        <v>45047</v>
      </c>
      <c r="B19" s="13" t="s">
        <v>94</v>
      </c>
      <c r="C19" s="10">
        <v>250</v>
      </c>
      <c r="D19" s="12">
        <f t="shared" si="0"/>
        <v>250</v>
      </c>
      <c r="E19" s="9"/>
      <c r="F19" s="11">
        <f>IF(NOT(ISBLANK(A19)),SUM(D$3:D19),"-")</f>
        <v>8025</v>
      </c>
    </row>
    <row r="20" spans="1:6" ht="14.4" x14ac:dyDescent="0.3">
      <c r="A20" s="20"/>
      <c r="B20" s="13"/>
      <c r="C20" s="10"/>
      <c r="D20" s="12">
        <f t="shared" si="0"/>
        <v>0</v>
      </c>
      <c r="E20" s="9"/>
      <c r="F20" s="11" t="str">
        <f>IF(NOT(ISBLANK(A20)),SUM(D$3:D20),"-")</f>
        <v>-</v>
      </c>
    </row>
    <row r="21" spans="1:6" ht="14.4" x14ac:dyDescent="0.3">
      <c r="A21" s="19"/>
      <c r="B21" s="13"/>
      <c r="C21" s="10"/>
      <c r="D21" s="12">
        <f t="shared" si="0"/>
        <v>0</v>
      </c>
      <c r="E21" s="9"/>
      <c r="F21" s="11" t="str">
        <f>IF(NOT(ISBLANK(A21)),SUM(D$3:D21),"-")</f>
        <v>-</v>
      </c>
    </row>
    <row r="22" spans="1:6" ht="14.4" x14ac:dyDescent="0.3">
      <c r="A22" s="20"/>
      <c r="B22" s="13"/>
      <c r="C22" s="10"/>
      <c r="D22" s="12">
        <f t="shared" si="0"/>
        <v>0</v>
      </c>
      <c r="E22" s="9"/>
      <c r="F22" s="11" t="str">
        <f>IF(NOT(ISBLANK(A22)),SUM(D$3:D22),"-")</f>
        <v>-</v>
      </c>
    </row>
    <row r="23" spans="1:6" ht="14.4" x14ac:dyDescent="0.3">
      <c r="A23" s="19"/>
      <c r="B23" s="13"/>
      <c r="C23" s="10"/>
      <c r="D23" s="12">
        <f t="shared" si="0"/>
        <v>0</v>
      </c>
      <c r="E23" s="9"/>
      <c r="F23" s="11" t="str">
        <f>IF(NOT(ISBLANK(A23)),SUM(D$3:D23),"-")</f>
        <v>-</v>
      </c>
    </row>
    <row r="24" spans="1:6" ht="14.4" x14ac:dyDescent="0.3">
      <c r="A24" s="20"/>
      <c r="B24" s="13"/>
      <c r="C24" s="10"/>
      <c r="D24" s="12">
        <f t="shared" si="0"/>
        <v>0</v>
      </c>
      <c r="E24" s="9"/>
      <c r="F24" s="11" t="str">
        <f>IF(NOT(ISBLANK(A24)),SUM(D$3:D24),"-")</f>
        <v>-</v>
      </c>
    </row>
    <row r="25" spans="1:6" ht="14.4" x14ac:dyDescent="0.3">
      <c r="A25" s="19"/>
      <c r="B25" s="13"/>
      <c r="C25" s="10"/>
      <c r="D25" s="12">
        <f t="shared" si="0"/>
        <v>0</v>
      </c>
      <c r="E25" s="9"/>
      <c r="F25" s="11" t="str">
        <f>IF(NOT(ISBLANK(A25)),SUM(D$3:D25),"-")</f>
        <v>-</v>
      </c>
    </row>
    <row r="26" spans="1:6" ht="14.4" x14ac:dyDescent="0.3">
      <c r="A26" s="20"/>
      <c r="B26" s="13"/>
      <c r="C26" s="10"/>
      <c r="D26" s="12">
        <f t="shared" si="0"/>
        <v>0</v>
      </c>
      <c r="E26" s="9"/>
      <c r="F26" s="11" t="str">
        <f>IF(NOT(ISBLANK(A26)),SUM(D$3:D26),"-")</f>
        <v>-</v>
      </c>
    </row>
    <row r="27" spans="1:6" ht="14.4" x14ac:dyDescent="0.3">
      <c r="A27" s="19"/>
      <c r="B27" s="13"/>
      <c r="C27" s="10"/>
      <c r="D27" s="12">
        <f t="shared" si="0"/>
        <v>0</v>
      </c>
      <c r="E27" s="9"/>
      <c r="F27" s="11" t="str">
        <f>IF(NOT(ISBLANK(A27)),SUM(D$3:D27),"-")</f>
        <v>-</v>
      </c>
    </row>
    <row r="28" spans="1:6" ht="14.4" x14ac:dyDescent="0.3">
      <c r="A28" s="20"/>
      <c r="B28" s="13"/>
      <c r="C28" s="10"/>
      <c r="D28" s="12">
        <f t="shared" si="0"/>
        <v>0</v>
      </c>
      <c r="E28" s="9"/>
      <c r="F28" s="11" t="str">
        <f>IF(NOT(ISBLANK(A28)),SUM(D$3:D28),"-")</f>
        <v>-</v>
      </c>
    </row>
    <row r="29" spans="1:6" ht="14.4" x14ac:dyDescent="0.3">
      <c r="A29" s="19"/>
      <c r="B29" s="13"/>
      <c r="C29" s="10"/>
      <c r="D29" s="12">
        <f t="shared" si="0"/>
        <v>0</v>
      </c>
      <c r="E29" s="9"/>
      <c r="F29" s="11" t="str">
        <f>IF(NOT(ISBLANK(A29)),SUM(D$3:D29),"-")</f>
        <v>-</v>
      </c>
    </row>
    <row r="30" spans="1:6" ht="14.4" x14ac:dyDescent="0.3">
      <c r="A30" s="20"/>
      <c r="B30" s="13"/>
      <c r="C30" s="10"/>
      <c r="D30" s="12">
        <f t="shared" si="0"/>
        <v>0</v>
      </c>
      <c r="E30" s="9"/>
      <c r="F30" s="11" t="str">
        <f>IF(NOT(ISBLANK(A30)),SUM(D$3:D30),"-")</f>
        <v>-</v>
      </c>
    </row>
    <row r="31" spans="1:6" ht="14.4" x14ac:dyDescent="0.3">
      <c r="A31" s="19"/>
      <c r="B31" s="13"/>
      <c r="C31" s="10"/>
      <c r="D31" s="12">
        <f t="shared" si="0"/>
        <v>0</v>
      </c>
      <c r="E31" s="9"/>
      <c r="F31" s="11" t="str">
        <f>IF(NOT(ISBLANK(A31)),SUM(D$3:D31),"-")</f>
        <v>-</v>
      </c>
    </row>
    <row r="32" spans="1:6" ht="14.4" x14ac:dyDescent="0.3">
      <c r="A32" s="20"/>
      <c r="B32" s="13"/>
      <c r="C32" s="10"/>
      <c r="D32" s="12">
        <f t="shared" si="0"/>
        <v>0</v>
      </c>
      <c r="E32" s="9"/>
      <c r="F32" s="11" t="str">
        <f>IF(NOT(ISBLANK(A32)),SUM(D$3:D32),"-")</f>
        <v>-</v>
      </c>
    </row>
    <row r="33" spans="1:6" ht="14.4" x14ac:dyDescent="0.3">
      <c r="A33" s="19"/>
      <c r="B33" s="13"/>
      <c r="C33" s="10"/>
      <c r="D33" s="12">
        <f t="shared" si="0"/>
        <v>0</v>
      </c>
      <c r="E33" s="9"/>
      <c r="F33" s="11" t="str">
        <f>IF(NOT(ISBLANK(A33)),SUM(D$3:D33),"-")</f>
        <v>-</v>
      </c>
    </row>
    <row r="34" spans="1:6" ht="14.4" x14ac:dyDescent="0.3">
      <c r="A34" s="20"/>
      <c r="B34" s="13"/>
      <c r="C34" s="10"/>
      <c r="D34" s="12">
        <f t="shared" si="0"/>
        <v>0</v>
      </c>
      <c r="E34" s="9"/>
      <c r="F34" s="11" t="str">
        <f>IF(NOT(ISBLANK(A34)),SUM(D$3:D34),"-")</f>
        <v>-</v>
      </c>
    </row>
    <row r="35" spans="1:6" ht="14.4" x14ac:dyDescent="0.3">
      <c r="A35" s="19"/>
      <c r="B35" s="13"/>
      <c r="C35" s="10"/>
      <c r="D35" s="12">
        <f t="shared" si="0"/>
        <v>0</v>
      </c>
      <c r="E35" s="9"/>
      <c r="F35" s="11" t="str">
        <f>IF(NOT(ISBLANK(A35)),SUM(D$3:D35),"-")</f>
        <v>-</v>
      </c>
    </row>
    <row r="36" spans="1:6" ht="14.4" x14ac:dyDescent="0.3">
      <c r="A36" s="20"/>
      <c r="B36" s="13"/>
      <c r="C36" s="10"/>
      <c r="D36" s="12">
        <f t="shared" si="0"/>
        <v>0</v>
      </c>
      <c r="E36" s="9"/>
      <c r="F36" s="11" t="str">
        <f>IF(NOT(ISBLANK(A36)),SUM(D$3:D36),"-")</f>
        <v>-</v>
      </c>
    </row>
    <row r="37" spans="1:6" ht="14.4" x14ac:dyDescent="0.3">
      <c r="A37" s="19"/>
      <c r="B37" s="13"/>
      <c r="C37" s="10"/>
      <c r="D37" s="12">
        <f t="shared" si="0"/>
        <v>0</v>
      </c>
      <c r="E37" s="9"/>
      <c r="F37" s="11" t="str">
        <f>IF(NOT(ISBLANK(A37)),SUM(D$3:D37),"-")</f>
        <v>-</v>
      </c>
    </row>
    <row r="38" spans="1:6" ht="14.4" x14ac:dyDescent="0.3">
      <c r="A38" s="20"/>
      <c r="B38" s="13"/>
      <c r="C38" s="10"/>
      <c r="D38" s="12">
        <f t="shared" si="0"/>
        <v>0</v>
      </c>
      <c r="E38" s="9"/>
      <c r="F38" s="11" t="str">
        <f>IF(NOT(ISBLANK(A38)),SUM(D$3:D38),"-")</f>
        <v>-</v>
      </c>
    </row>
    <row r="39" spans="1:6" ht="14.4" x14ac:dyDescent="0.3">
      <c r="A39" s="19"/>
      <c r="B39" s="13"/>
      <c r="C39" s="10"/>
      <c r="D39" s="12">
        <f t="shared" si="0"/>
        <v>0</v>
      </c>
      <c r="E39" s="9"/>
      <c r="F39" s="11" t="str">
        <f>IF(NOT(ISBLANK(A39)),SUM(D$3:D39),"-")</f>
        <v>-</v>
      </c>
    </row>
    <row r="40" spans="1:6" ht="14.4" x14ac:dyDescent="0.3">
      <c r="A40" s="20"/>
      <c r="B40" s="13"/>
      <c r="C40" s="10"/>
      <c r="D40" s="12">
        <f t="shared" si="0"/>
        <v>0</v>
      </c>
      <c r="E40" s="9"/>
      <c r="F40" s="11" t="str">
        <f>IF(NOT(ISBLANK(A40)),SUM(D$3:D40),"-")</f>
        <v>-</v>
      </c>
    </row>
  </sheetData>
  <mergeCells count="1">
    <mergeCell ref="A1:H1"/>
  </mergeCells>
  <conditionalFormatting sqref="A4:C40">
    <cfRule type="expression" dxfId="2" priority="3" stopIfTrue="1">
      <formula>MOD(ROW(),2)=1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7254A-1734-4649-A55F-BFF81B9C1EE0}">
  <dimension ref="A1:G33"/>
  <sheetViews>
    <sheetView workbookViewId="0">
      <selection activeCell="G27" sqref="G27"/>
    </sheetView>
  </sheetViews>
  <sheetFormatPr defaultColWidth="9.109375" defaultRowHeight="13.8" x14ac:dyDescent="0.3"/>
  <cols>
    <col min="1" max="1" width="10.109375" style="8" customWidth="1"/>
    <col min="2" max="2" width="10.5546875" style="8" bestFit="1" customWidth="1"/>
    <col min="3" max="3" width="12" style="8" customWidth="1"/>
    <col min="4" max="4" width="13.44140625" style="8" hidden="1" customWidth="1"/>
    <col min="5" max="5" width="13.33203125" style="8" customWidth="1"/>
    <col min="6" max="6" width="16.44140625" style="8" customWidth="1"/>
    <col min="7" max="16384" width="9.109375" style="8"/>
  </cols>
  <sheetData>
    <row r="1" spans="1:7" customFormat="1" ht="21.75" customHeight="1" x14ac:dyDescent="0.3">
      <c r="A1" s="28" t="s">
        <v>19</v>
      </c>
      <c r="B1" s="29"/>
      <c r="C1" s="29"/>
      <c r="D1" s="29"/>
      <c r="E1" s="29"/>
      <c r="F1" s="29"/>
      <c r="G1" s="30"/>
    </row>
    <row r="2" spans="1:7" x14ac:dyDescent="0.3">
      <c r="E2" s="18"/>
    </row>
    <row r="3" spans="1:7" x14ac:dyDescent="0.3">
      <c r="A3" s="16" t="s">
        <v>70</v>
      </c>
      <c r="B3" s="17" t="s">
        <v>69</v>
      </c>
      <c r="C3" s="21" t="s">
        <v>67</v>
      </c>
      <c r="D3" s="16" t="s">
        <v>68</v>
      </c>
      <c r="E3" s="16" t="s">
        <v>67</v>
      </c>
    </row>
    <row r="4" spans="1:7" ht="14.4" x14ac:dyDescent="0.3">
      <c r="A4" s="20">
        <v>44713</v>
      </c>
      <c r="B4" s="15" t="s">
        <v>108</v>
      </c>
      <c r="C4" s="14">
        <v>200</v>
      </c>
      <c r="D4" s="12">
        <f t="shared" ref="D4:D33" si="0">SUM(C4:C4)</f>
        <v>200</v>
      </c>
      <c r="E4" s="11">
        <f>IF(NOT(ISBLANK(A4)),SUM(D$3:D4),"-")</f>
        <v>200</v>
      </c>
    </row>
    <row r="5" spans="1:7" ht="14.4" x14ac:dyDescent="0.3">
      <c r="A5" s="20">
        <v>44743</v>
      </c>
      <c r="B5" s="15" t="s">
        <v>108</v>
      </c>
      <c r="C5" s="10">
        <v>200</v>
      </c>
      <c r="D5" s="12">
        <f t="shared" si="0"/>
        <v>200</v>
      </c>
      <c r="E5" s="11">
        <f>IF(NOT(ISBLANK(A5)),SUM(D$3:D5),"-")</f>
        <v>400</v>
      </c>
    </row>
    <row r="6" spans="1:7" ht="14.4" x14ac:dyDescent="0.3">
      <c r="A6" s="19">
        <v>44774</v>
      </c>
      <c r="B6" s="15" t="s">
        <v>108</v>
      </c>
      <c r="C6" s="10">
        <v>200</v>
      </c>
      <c r="D6" s="12">
        <f t="shared" si="0"/>
        <v>200</v>
      </c>
      <c r="E6" s="11">
        <f>IF(NOT(ISBLANK(A6)),SUM(D$3:D6),"-")</f>
        <v>600</v>
      </c>
    </row>
    <row r="7" spans="1:7" ht="14.4" x14ac:dyDescent="0.3">
      <c r="A7" s="20">
        <v>44805</v>
      </c>
      <c r="B7" s="15" t="s">
        <v>108</v>
      </c>
      <c r="C7" s="10">
        <v>200</v>
      </c>
      <c r="D7" s="12">
        <f t="shared" si="0"/>
        <v>200</v>
      </c>
      <c r="E7" s="11">
        <f>IF(NOT(ISBLANK(A7)),SUM(D$3:D7),"-")</f>
        <v>800</v>
      </c>
    </row>
    <row r="8" spans="1:7" ht="14.4" x14ac:dyDescent="0.3">
      <c r="A8" s="19">
        <v>44835</v>
      </c>
      <c r="B8" s="15" t="s">
        <v>108</v>
      </c>
      <c r="C8" s="10">
        <v>100</v>
      </c>
      <c r="D8" s="12">
        <f t="shared" si="0"/>
        <v>100</v>
      </c>
      <c r="E8" s="11">
        <f>IF(NOT(ISBLANK(A8)),SUM(D$3:D8),"-")</f>
        <v>900</v>
      </c>
    </row>
    <row r="9" spans="1:7" ht="14.4" x14ac:dyDescent="0.3">
      <c r="A9" s="19">
        <v>44866</v>
      </c>
      <c r="B9" s="15" t="s">
        <v>108</v>
      </c>
      <c r="C9" s="10">
        <v>200</v>
      </c>
      <c r="D9" s="12">
        <f t="shared" si="0"/>
        <v>200</v>
      </c>
      <c r="E9" s="11">
        <f>IF(NOT(ISBLANK(A9)),SUM(D$3:D9),"-")</f>
        <v>1100</v>
      </c>
    </row>
    <row r="10" spans="1:7" ht="14.4" x14ac:dyDescent="0.3">
      <c r="A10" s="20">
        <v>44896</v>
      </c>
      <c r="B10" s="15" t="s">
        <v>108</v>
      </c>
      <c r="C10" s="10">
        <v>200</v>
      </c>
      <c r="D10" s="12">
        <f t="shared" si="0"/>
        <v>200</v>
      </c>
      <c r="E10" s="11">
        <f>IF(NOT(ISBLANK(A10)),SUM(D$3:D10),"-")</f>
        <v>1300</v>
      </c>
    </row>
    <row r="11" spans="1:7" ht="14.4" x14ac:dyDescent="0.3">
      <c r="A11" s="19">
        <v>44927</v>
      </c>
      <c r="B11" s="15" t="s">
        <v>108</v>
      </c>
      <c r="C11" s="10">
        <v>200</v>
      </c>
      <c r="D11" s="12">
        <f t="shared" si="0"/>
        <v>200</v>
      </c>
      <c r="E11" s="11">
        <f>IF(NOT(ISBLANK(A11)),SUM(D$3:D11),"-")</f>
        <v>1500</v>
      </c>
    </row>
    <row r="12" spans="1:7" ht="14.4" x14ac:dyDescent="0.3">
      <c r="A12" s="20">
        <v>45047</v>
      </c>
      <c r="B12" s="15" t="s">
        <v>108</v>
      </c>
      <c r="C12" s="10">
        <v>200</v>
      </c>
      <c r="D12" s="12">
        <f t="shared" si="0"/>
        <v>200</v>
      </c>
      <c r="E12" s="11">
        <f>IF(NOT(ISBLANK(A12)),SUM(D$3:D12),"-")</f>
        <v>1700</v>
      </c>
    </row>
    <row r="13" spans="1:7" ht="14.4" x14ac:dyDescent="0.3">
      <c r="A13" s="20"/>
      <c r="B13" s="13"/>
      <c r="C13" s="10"/>
      <c r="D13" s="12">
        <f t="shared" si="0"/>
        <v>0</v>
      </c>
      <c r="E13" s="11" t="str">
        <f>IF(NOT(ISBLANK(A13)),SUM(D$3:D13),"-")</f>
        <v>-</v>
      </c>
    </row>
    <row r="14" spans="1:7" ht="14.4" x14ac:dyDescent="0.3">
      <c r="A14" s="19"/>
      <c r="B14" s="13"/>
      <c r="C14" s="10"/>
      <c r="D14" s="12">
        <f t="shared" si="0"/>
        <v>0</v>
      </c>
      <c r="E14" s="11" t="str">
        <f>IF(NOT(ISBLANK(A14)),SUM(D$3:D14),"-")</f>
        <v>-</v>
      </c>
    </row>
    <row r="15" spans="1:7" ht="14.4" x14ac:dyDescent="0.3">
      <c r="A15" s="20"/>
      <c r="B15" s="13"/>
      <c r="C15" s="10"/>
      <c r="D15" s="12">
        <f t="shared" si="0"/>
        <v>0</v>
      </c>
      <c r="E15" s="11" t="str">
        <f>IF(NOT(ISBLANK(A15)),SUM(D$3:D15),"-")</f>
        <v>-</v>
      </c>
    </row>
    <row r="16" spans="1:7" ht="14.4" x14ac:dyDescent="0.3">
      <c r="A16" s="19"/>
      <c r="B16" s="13"/>
      <c r="C16" s="10"/>
      <c r="D16" s="12">
        <f t="shared" si="0"/>
        <v>0</v>
      </c>
      <c r="E16" s="11" t="str">
        <f>IF(NOT(ISBLANK(A16)),SUM(D$3:D16),"-")</f>
        <v>-</v>
      </c>
    </row>
    <row r="17" spans="1:5" ht="14.4" x14ac:dyDescent="0.3">
      <c r="A17" s="20"/>
      <c r="B17" s="13"/>
      <c r="C17" s="10"/>
      <c r="D17" s="12">
        <f t="shared" si="0"/>
        <v>0</v>
      </c>
      <c r="E17" s="11" t="str">
        <f>IF(NOT(ISBLANK(A17)),SUM(D$3:D17),"-")</f>
        <v>-</v>
      </c>
    </row>
    <row r="18" spans="1:5" ht="14.4" x14ac:dyDescent="0.3">
      <c r="A18" s="19"/>
      <c r="B18" s="13"/>
      <c r="C18" s="10"/>
      <c r="D18" s="12">
        <f t="shared" si="0"/>
        <v>0</v>
      </c>
      <c r="E18" s="11" t="str">
        <f>IF(NOT(ISBLANK(A18)),SUM(D$3:D18),"-")</f>
        <v>-</v>
      </c>
    </row>
    <row r="19" spans="1:5" ht="14.4" x14ac:dyDescent="0.3">
      <c r="A19" s="20"/>
      <c r="B19" s="13"/>
      <c r="C19" s="10"/>
      <c r="D19" s="12">
        <f t="shared" si="0"/>
        <v>0</v>
      </c>
      <c r="E19" s="11" t="str">
        <f>IF(NOT(ISBLANK(A19)),SUM(D$3:D19),"-")</f>
        <v>-</v>
      </c>
    </row>
    <row r="20" spans="1:5" ht="14.4" x14ac:dyDescent="0.3">
      <c r="A20" s="19"/>
      <c r="B20" s="13"/>
      <c r="C20" s="10"/>
      <c r="D20" s="12">
        <f t="shared" si="0"/>
        <v>0</v>
      </c>
      <c r="E20" s="11" t="str">
        <f>IF(NOT(ISBLANK(A20)),SUM(D$3:D20),"-")</f>
        <v>-</v>
      </c>
    </row>
    <row r="21" spans="1:5" ht="14.4" x14ac:dyDescent="0.3">
      <c r="A21" s="20"/>
      <c r="B21" s="13"/>
      <c r="C21" s="10"/>
      <c r="D21" s="12">
        <f t="shared" si="0"/>
        <v>0</v>
      </c>
      <c r="E21" s="11" t="str">
        <f>IF(NOT(ISBLANK(A21)),SUM(D$3:D21),"-")</f>
        <v>-</v>
      </c>
    </row>
    <row r="22" spans="1:5" ht="14.4" x14ac:dyDescent="0.3">
      <c r="A22" s="19"/>
      <c r="B22" s="13"/>
      <c r="C22" s="10"/>
      <c r="D22" s="12">
        <f t="shared" si="0"/>
        <v>0</v>
      </c>
      <c r="E22" s="11" t="str">
        <f>IF(NOT(ISBLANK(A22)),SUM(D$3:D22),"-")</f>
        <v>-</v>
      </c>
    </row>
    <row r="23" spans="1:5" ht="14.4" x14ac:dyDescent="0.3">
      <c r="A23" s="20"/>
      <c r="B23" s="13"/>
      <c r="C23" s="10"/>
      <c r="D23" s="12">
        <f t="shared" si="0"/>
        <v>0</v>
      </c>
      <c r="E23" s="11" t="str">
        <f>IF(NOT(ISBLANK(A23)),SUM(D$3:D23),"-")</f>
        <v>-</v>
      </c>
    </row>
    <row r="24" spans="1:5" ht="14.4" x14ac:dyDescent="0.3">
      <c r="A24" s="19"/>
      <c r="B24" s="13"/>
      <c r="C24" s="10"/>
      <c r="D24" s="12">
        <f t="shared" si="0"/>
        <v>0</v>
      </c>
      <c r="E24" s="11" t="str">
        <f>IF(NOT(ISBLANK(A24)),SUM(D$3:D24),"-")</f>
        <v>-</v>
      </c>
    </row>
    <row r="25" spans="1:5" ht="14.4" x14ac:dyDescent="0.3">
      <c r="A25" s="20"/>
      <c r="B25" s="13"/>
      <c r="C25" s="10"/>
      <c r="D25" s="12">
        <f t="shared" si="0"/>
        <v>0</v>
      </c>
      <c r="E25" s="11" t="str">
        <f>IF(NOT(ISBLANK(A25)),SUM(D$3:D25),"-")</f>
        <v>-</v>
      </c>
    </row>
    <row r="26" spans="1:5" ht="14.4" x14ac:dyDescent="0.3">
      <c r="A26" s="19"/>
      <c r="B26" s="13"/>
      <c r="C26" s="10"/>
      <c r="D26" s="12">
        <f t="shared" si="0"/>
        <v>0</v>
      </c>
      <c r="E26" s="11" t="str">
        <f>IF(NOT(ISBLANK(A26)),SUM(D$3:D26),"-")</f>
        <v>-</v>
      </c>
    </row>
    <row r="27" spans="1:5" ht="14.4" x14ac:dyDescent="0.3">
      <c r="A27" s="20"/>
      <c r="B27" s="13"/>
      <c r="C27" s="10"/>
      <c r="D27" s="12">
        <f t="shared" si="0"/>
        <v>0</v>
      </c>
      <c r="E27" s="11" t="str">
        <f>IF(NOT(ISBLANK(A27)),SUM(D$3:D27),"-")</f>
        <v>-</v>
      </c>
    </row>
    <row r="28" spans="1:5" ht="14.4" x14ac:dyDescent="0.3">
      <c r="A28" s="19"/>
      <c r="B28" s="13"/>
      <c r="C28" s="10"/>
      <c r="D28" s="12">
        <f t="shared" si="0"/>
        <v>0</v>
      </c>
      <c r="E28" s="11" t="str">
        <f>IF(NOT(ISBLANK(A28)),SUM(D$3:D28),"-")</f>
        <v>-</v>
      </c>
    </row>
    <row r="29" spans="1:5" ht="14.4" x14ac:dyDescent="0.3">
      <c r="A29" s="20"/>
      <c r="B29" s="13"/>
      <c r="C29" s="10"/>
      <c r="D29" s="12">
        <f t="shared" si="0"/>
        <v>0</v>
      </c>
      <c r="E29" s="11" t="str">
        <f>IF(NOT(ISBLANK(A29)),SUM(D$3:D29),"-")</f>
        <v>-</v>
      </c>
    </row>
    <row r="30" spans="1:5" ht="14.4" x14ac:dyDescent="0.3">
      <c r="A30" s="19"/>
      <c r="B30" s="13"/>
      <c r="C30" s="10"/>
      <c r="D30" s="12">
        <f t="shared" si="0"/>
        <v>0</v>
      </c>
      <c r="E30" s="11" t="str">
        <f>IF(NOT(ISBLANK(A30)),SUM(D$3:D30),"-")</f>
        <v>-</v>
      </c>
    </row>
    <row r="31" spans="1:5" ht="14.4" x14ac:dyDescent="0.3">
      <c r="A31" s="20"/>
      <c r="B31" s="13"/>
      <c r="C31" s="10"/>
      <c r="D31" s="12">
        <f t="shared" si="0"/>
        <v>0</v>
      </c>
      <c r="E31" s="11" t="str">
        <f>IF(NOT(ISBLANK(A31)),SUM(D$3:D31),"-")</f>
        <v>-</v>
      </c>
    </row>
    <row r="32" spans="1:5" ht="14.4" x14ac:dyDescent="0.3">
      <c r="A32" s="19"/>
      <c r="B32" s="13"/>
      <c r="C32" s="10"/>
      <c r="D32" s="12">
        <f t="shared" si="0"/>
        <v>0</v>
      </c>
      <c r="E32" s="11" t="str">
        <f>IF(NOT(ISBLANK(A32)),SUM(D$3:D32),"-")</f>
        <v>-</v>
      </c>
    </row>
    <row r="33" spans="1:5" ht="14.4" x14ac:dyDescent="0.3">
      <c r="A33" s="20"/>
      <c r="B33" s="13"/>
      <c r="C33" s="10"/>
      <c r="D33" s="12">
        <f t="shared" si="0"/>
        <v>0</v>
      </c>
      <c r="E33" s="11" t="str">
        <f>IF(NOT(ISBLANK(A33)),SUM(D$3:D33),"-")</f>
        <v>-</v>
      </c>
    </row>
  </sheetData>
  <mergeCells count="1">
    <mergeCell ref="A1:G1"/>
  </mergeCells>
  <conditionalFormatting sqref="A4:C33">
    <cfRule type="expression" dxfId="1" priority="1" stopIfTrue="1">
      <formula>MOD(ROW(),2)=1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01DF-0AF2-4E79-831C-3A4ECAD35B1E}">
  <dimension ref="A1:C16"/>
  <sheetViews>
    <sheetView workbookViewId="0">
      <selection activeCell="E24" sqref="E24"/>
    </sheetView>
  </sheetViews>
  <sheetFormatPr defaultColWidth="9.109375" defaultRowHeight="13.8" x14ac:dyDescent="0.3"/>
  <cols>
    <col min="1" max="1" width="17.44140625" style="24" bestFit="1" customWidth="1"/>
    <col min="2" max="2" width="25.6640625" style="8" bestFit="1" customWidth="1"/>
    <col min="3" max="3" width="12" style="8" customWidth="1"/>
    <col min="4" max="16384" width="9.109375" style="8"/>
  </cols>
  <sheetData>
    <row r="1" spans="1:3" customFormat="1" ht="21.75" customHeight="1" x14ac:dyDescent="0.3">
      <c r="A1" s="28" t="s">
        <v>37</v>
      </c>
      <c r="B1" s="29"/>
      <c r="C1" s="30"/>
    </row>
    <row r="3" spans="1:3" x14ac:dyDescent="0.3">
      <c r="A3" s="22" t="s">
        <v>70</v>
      </c>
      <c r="B3" s="17" t="s">
        <v>104</v>
      </c>
      <c r="C3" s="21" t="s">
        <v>67</v>
      </c>
    </row>
    <row r="4" spans="1:3" ht="14.4" x14ac:dyDescent="0.3">
      <c r="A4" s="23">
        <v>44713</v>
      </c>
      <c r="B4" s="33" t="s">
        <v>88</v>
      </c>
      <c r="C4" s="14">
        <v>538.9</v>
      </c>
    </row>
    <row r="5" spans="1:3" ht="14.4" x14ac:dyDescent="0.3">
      <c r="A5" s="23">
        <v>44743</v>
      </c>
      <c r="B5" s="33"/>
      <c r="C5" s="10">
        <v>676.6</v>
      </c>
    </row>
    <row r="6" spans="1:3" ht="14.4" x14ac:dyDescent="0.3">
      <c r="A6" s="23">
        <v>44774</v>
      </c>
      <c r="B6" s="33"/>
      <c r="C6" s="10">
        <v>676.6</v>
      </c>
    </row>
    <row r="7" spans="1:3" ht="14.4" x14ac:dyDescent="0.3">
      <c r="A7" s="23">
        <v>44805</v>
      </c>
      <c r="B7" s="33"/>
      <c r="C7" s="10">
        <v>676.6</v>
      </c>
    </row>
    <row r="8" spans="1:3" ht="14.4" x14ac:dyDescent="0.3">
      <c r="A8" s="23">
        <v>44835</v>
      </c>
      <c r="B8" s="33"/>
      <c r="C8" s="10">
        <v>676.6</v>
      </c>
    </row>
    <row r="9" spans="1:3" ht="14.4" x14ac:dyDescent="0.3">
      <c r="A9" s="23">
        <v>44866</v>
      </c>
      <c r="B9" s="33"/>
      <c r="C9" s="10">
        <v>676.6</v>
      </c>
    </row>
    <row r="10" spans="1:3" ht="14.4" x14ac:dyDescent="0.3">
      <c r="A10" s="23">
        <v>44896</v>
      </c>
      <c r="B10" s="33"/>
      <c r="C10" s="10">
        <v>676.6</v>
      </c>
    </row>
    <row r="11" spans="1:3" ht="14.4" x14ac:dyDescent="0.3">
      <c r="A11" s="23">
        <v>44927</v>
      </c>
      <c r="B11" s="33"/>
      <c r="C11" s="10">
        <v>676.6</v>
      </c>
    </row>
    <row r="12" spans="1:3" ht="14.4" x14ac:dyDescent="0.3">
      <c r="A12" s="23">
        <v>44958</v>
      </c>
      <c r="B12" s="33"/>
      <c r="C12" s="10">
        <v>676.6</v>
      </c>
    </row>
    <row r="13" spans="1:3" ht="14.4" x14ac:dyDescent="0.3">
      <c r="A13" s="23">
        <v>44986</v>
      </c>
      <c r="B13" s="33"/>
      <c r="C13" s="10">
        <v>676.6</v>
      </c>
    </row>
    <row r="14" spans="1:3" ht="14.4" x14ac:dyDescent="0.3">
      <c r="A14" s="23">
        <v>45017</v>
      </c>
      <c r="B14" s="33"/>
      <c r="C14" s="10">
        <v>676.6</v>
      </c>
    </row>
    <row r="15" spans="1:3" ht="14.4" x14ac:dyDescent="0.3">
      <c r="A15" s="23">
        <v>45047</v>
      </c>
      <c r="B15" s="33"/>
      <c r="C15" s="10">
        <v>676.6</v>
      </c>
    </row>
    <row r="16" spans="1:3" x14ac:dyDescent="0.3">
      <c r="A16" s="31" t="s">
        <v>83</v>
      </c>
      <c r="B16" s="32"/>
      <c r="C16" s="25">
        <f>SUM(C4:C15)</f>
        <v>7981.5000000000018</v>
      </c>
    </row>
  </sheetData>
  <mergeCells count="3">
    <mergeCell ref="A1:C1"/>
    <mergeCell ref="A16:B16"/>
    <mergeCell ref="B4:B15"/>
  </mergeCells>
  <conditionalFormatting sqref="A4:C4 A5:A15 C5:C15">
    <cfRule type="expression" dxfId="0" priority="1" stopIfTrue="1">
      <formula>MOD(ROW(),2)=1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Personal Budget</vt:lpstr>
      <vt:lpstr>Savings</vt:lpstr>
      <vt:lpstr>ISA</vt:lpstr>
      <vt:lpstr>Pension</vt:lpstr>
      <vt:lpstr>'Personal Budget'!Print_Area</vt:lpstr>
      <vt:lpstr>'Personal Budget'!Print_Titles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Sullivan</dc:creator>
  <cp:lastModifiedBy>McClenaghan, Aaron</cp:lastModifiedBy>
  <cp:lastPrinted>2005-02-01T19:22:52Z</cp:lastPrinted>
  <dcterms:created xsi:type="dcterms:W3CDTF">2001-05-18T00:29:33Z</dcterms:created>
  <dcterms:modified xsi:type="dcterms:W3CDTF">2023-06-01T14:54:10Z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TC062062791033</vt:lpwstr>
  </property>
  <property fmtid="{D5CDD505-2E9C-101B-9397-08002B2CF9AE}" pid="3" name="MSIP_Label_ea60d57e-af5b-4752-ac57-3e4f28ca11dc_Enabled">
    <vt:lpwstr>true</vt:lpwstr>
  </property>
  <property fmtid="{D5CDD505-2E9C-101B-9397-08002B2CF9AE}" pid="4" name="MSIP_Label_ea60d57e-af5b-4752-ac57-3e4f28ca11dc_SetDate">
    <vt:lpwstr>2022-05-27T08:16:24Z</vt:lpwstr>
  </property>
  <property fmtid="{D5CDD505-2E9C-101B-9397-08002B2CF9AE}" pid="5" name="MSIP_Label_ea60d57e-af5b-4752-ac57-3e4f28ca11dc_Method">
    <vt:lpwstr>Standard</vt:lpwstr>
  </property>
  <property fmtid="{D5CDD505-2E9C-101B-9397-08002B2CF9AE}" pid="6" name="MSIP_Label_ea60d57e-af5b-4752-ac57-3e4f28ca11dc_Name">
    <vt:lpwstr>ea60d57e-af5b-4752-ac57-3e4f28ca11dc</vt:lpwstr>
  </property>
  <property fmtid="{D5CDD505-2E9C-101B-9397-08002B2CF9AE}" pid="7" name="MSIP_Label_ea60d57e-af5b-4752-ac57-3e4f28ca11dc_SiteId">
    <vt:lpwstr>36da45f1-dd2c-4d1f-af13-5abe46b99921</vt:lpwstr>
  </property>
  <property fmtid="{D5CDD505-2E9C-101B-9397-08002B2CF9AE}" pid="8" name="MSIP_Label_ea60d57e-af5b-4752-ac57-3e4f28ca11dc_ActionId">
    <vt:lpwstr>50a53c67-910a-414c-b4e3-d1cfd1a88c4b</vt:lpwstr>
  </property>
  <property fmtid="{D5CDD505-2E9C-101B-9397-08002B2CF9AE}" pid="9" name="MSIP_Label_ea60d57e-af5b-4752-ac57-3e4f28ca11dc_ContentBits">
    <vt:lpwstr>0</vt:lpwstr>
  </property>
</Properties>
</file>